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Ex1.xml" ContentType="application/vnd.ms-office.chartex+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charts/chartEx2.xml" ContentType="application/vnd.ms-office.chartex+xml"/>
  <Override PartName="/xl/charts/style2.xml" ContentType="application/vnd.ms-office.chartstyle+xml"/>
  <Override PartName="/xl/charts/colors2.xml" ContentType="application/vnd.ms-office.chartcolorsty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1"/>
  <workbookPr defaultThemeVersion="166925"/>
  <mc:AlternateContent xmlns:mc="http://schemas.openxmlformats.org/markup-compatibility/2006">
    <mc:Choice Requires="x15">
      <x15ac:absPath xmlns:x15ac="http://schemas.microsoft.com/office/spreadsheetml/2010/11/ac" url="/Users/carlosgomes/Downloads/"/>
    </mc:Choice>
  </mc:AlternateContent>
  <xr:revisionPtr revIDLastSave="0" documentId="13_ncr:1_{BFE3B66A-0010-4B40-BEBA-C815B9B4C567}" xr6:coauthVersionLast="47" xr6:coauthVersionMax="47" xr10:uidLastSave="{00000000-0000-0000-0000-000000000000}"/>
  <bookViews>
    <workbookView xWindow="120" yWindow="460" windowWidth="27640" windowHeight="14900" xr2:uid="{493115DD-C293-EC41-B30F-FD1D1A48ECEB}"/>
  </bookViews>
  <sheets>
    <sheet name="Por GMD x Tempo" sheetId="1" r:id="rId1"/>
    <sheet name="Peso Saída Igual" sheetId="2" r:id="rId2"/>
  </sheets>
  <definedNames>
    <definedName name="_xlchart.v1.0" hidden="1">'Por GMD x Tempo'!$G$63:$G$71</definedName>
    <definedName name="_xlchart.v1.1" hidden="1">'Por GMD x Tempo'!$H$63:$H$71</definedName>
    <definedName name="_xlchart.v1.2" hidden="1">'Peso Saída Igual'!$G$64:$G$72</definedName>
    <definedName name="_xlchart.v1.3" hidden="1">'Peso Saída Igual'!$H$64:$H$72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53" i="2" l="1"/>
  <c r="H52" i="2"/>
  <c r="K52" i="2"/>
  <c r="K51" i="2"/>
  <c r="H51" i="2"/>
  <c r="G72" i="2"/>
  <c r="H70" i="2"/>
  <c r="G70" i="2"/>
  <c r="H69" i="2"/>
  <c r="G69" i="2"/>
  <c r="G68" i="2"/>
  <c r="G67" i="2"/>
  <c r="H66" i="2"/>
  <c r="G66" i="2"/>
  <c r="P57" i="2"/>
  <c r="H48" i="2"/>
  <c r="H47" i="2"/>
  <c r="H46" i="2"/>
  <c r="L37" i="2"/>
  <c r="K48" i="2" s="1"/>
  <c r="L32" i="2"/>
  <c r="N28" i="2"/>
  <c r="C28" i="2"/>
  <c r="H45" i="2" s="1"/>
  <c r="L24" i="2"/>
  <c r="C24" i="2"/>
  <c r="H44" i="2" s="1"/>
  <c r="H43" i="2" s="1"/>
  <c r="H42" i="2" s="1"/>
  <c r="C21" i="2"/>
  <c r="H41" i="2" s="1"/>
  <c r="L18" i="2"/>
  <c r="D17" i="2"/>
  <c r="G71" i="1"/>
  <c r="G68" i="1"/>
  <c r="D17" i="1"/>
  <c r="N28" i="1"/>
  <c r="L21" i="2" l="1"/>
  <c r="H49" i="2"/>
  <c r="H50" i="2"/>
  <c r="H64" i="2" s="1"/>
  <c r="C25" i="2"/>
  <c r="H68" i="1"/>
  <c r="H69" i="1"/>
  <c r="H65" i="1"/>
  <c r="G66" i="1"/>
  <c r="G67" i="1"/>
  <c r="G69" i="1"/>
  <c r="G65" i="1"/>
  <c r="P56" i="1"/>
  <c r="H48" i="1"/>
  <c r="L18" i="1"/>
  <c r="L37" i="1"/>
  <c r="K48" i="1" s="1"/>
  <c r="H47" i="1"/>
  <c r="H46" i="1"/>
  <c r="C28" i="1"/>
  <c r="H45" i="1" s="1"/>
  <c r="L32" i="1"/>
  <c r="C24" i="1"/>
  <c r="L24" i="1"/>
  <c r="L20" i="1"/>
  <c r="P28" i="1" s="1"/>
  <c r="L28" i="1" s="1"/>
  <c r="K45" i="1" s="1"/>
  <c r="K41" i="2" l="1"/>
  <c r="L20" i="2"/>
  <c r="L25" i="2" s="1"/>
  <c r="K56" i="1"/>
  <c r="K55" i="1"/>
  <c r="K46" i="1"/>
  <c r="K47" i="1"/>
  <c r="K56" i="2" l="1"/>
  <c r="P28" i="2"/>
  <c r="L28" i="2" s="1"/>
  <c r="K45" i="2" s="1"/>
  <c r="K47" i="2"/>
  <c r="K57" i="2"/>
  <c r="H68" i="2" s="1"/>
  <c r="K46" i="2"/>
  <c r="K44" i="2"/>
  <c r="H66" i="1"/>
  <c r="H67" i="1"/>
  <c r="K53" i="1"/>
  <c r="L54" i="1" s="1"/>
  <c r="K43" i="2" l="1"/>
  <c r="K42" i="2" s="1"/>
  <c r="K49" i="2" s="1"/>
  <c r="H67" i="2"/>
  <c r="K54" i="2"/>
  <c r="L58" i="1"/>
  <c r="L57" i="1"/>
  <c r="L56" i="1"/>
  <c r="L55" i="1"/>
  <c r="L21" i="1"/>
  <c r="C21" i="1"/>
  <c r="C25" i="1" s="1"/>
  <c r="K50" i="2" l="1"/>
  <c r="H53" i="2"/>
  <c r="L57" i="2"/>
  <c r="L55" i="2"/>
  <c r="J54" i="2"/>
  <c r="L59" i="2"/>
  <c r="L58" i="2"/>
  <c r="L56" i="2"/>
  <c r="L25" i="1"/>
  <c r="H41" i="1"/>
  <c r="H44" i="1"/>
  <c r="H43" i="1" s="1"/>
  <c r="H42" i="1" s="1"/>
  <c r="K44" i="1"/>
  <c r="K43" i="1" s="1"/>
  <c r="K42" i="1" s="1"/>
  <c r="K41" i="1"/>
  <c r="J55" i="2" l="1"/>
  <c r="H65" i="2"/>
  <c r="H71" i="2" s="1"/>
  <c r="J56" i="2"/>
  <c r="J59" i="2"/>
  <c r="J58" i="2"/>
  <c r="J57" i="2"/>
  <c r="H49" i="1"/>
  <c r="H50" i="1" s="1"/>
  <c r="H63" i="1" s="1"/>
  <c r="K49" i="1"/>
  <c r="H72" i="2" l="1"/>
  <c r="H73" i="2"/>
  <c r="K51" i="1"/>
  <c r="K52" i="1" s="1"/>
  <c r="H64" i="1" s="1"/>
  <c r="H70" i="1" s="1"/>
  <c r="K50" i="1"/>
  <c r="H51" i="1"/>
  <c r="H52" i="1" s="1"/>
  <c r="J53" i="1" l="1"/>
  <c r="J55" i="1"/>
  <c r="J56" i="1"/>
  <c r="J54" i="1"/>
  <c r="J57" i="1"/>
  <c r="J58" i="1"/>
  <c r="H72" i="1"/>
  <c r="H7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tc={B695084F-98F9-5C40-AB79-44C9565F8D9D}</author>
    <author>tc={D78E1E20-5499-2A4E-809C-41F54631BCDD}</author>
    <author>tc={84F31559-D1D7-684C-91FE-E2A48EE6CFBD}</author>
    <author>tc={42DB098C-B93E-8F42-B357-B687CE058CE0}</author>
  </authors>
  <commentList>
    <comment ref="C17" authorId="0" shapeId="0" xr:uid="{B695084F-98F9-5C40-AB79-44C9565F8D9D}">
      <text>
        <t xml:space="preserve">[Threaded comment]
Your version of Excel allows you to read this threaded comment; however, any edits to it will get removed if the file is opened in a newer version of Excel. Learn more: https://go.microsoft.com/fwlink/?linkid=870924
Comment:
    Lotação média, das propriedades acima de 1.000 ha, na safra 2019-2020. ABIEC Beef Report 2020 </t>
      </text>
    </comment>
    <comment ref="C21" authorId="1" shapeId="0" xr:uid="{D78E1E20-5499-2A4E-809C-41F54631BCDD}">
      <text>
        <t xml:space="preserve">[Threaded comment]
Your version of Excel allows you to read this threaded comment; however, any edits to it will get removed if the file is opened in a newer version of Excel. Learn more: https://go.microsoft.com/fwlink/?linkid=870924
Comment:
    O peso vivo médio de abate, na safra 2019-2020, no Brasil, foi de 459.18 kg (242.45 kg carcaça a 52.8% aproveitamento). ABIEC Beef Report 2020 </t>
      </text>
    </comment>
    <comment ref="N56" authorId="2" shapeId="0" xr:uid="{84F31559-D1D7-684C-91FE-E2A48EE6CFBD}">
      <text>
        <t>[Threaded comment]
Your version of Excel allows you to read this threaded comment; however, any edits to it will get removed if the file is opened in a newer version of Excel. Learn more: https://go.microsoft.com/fwlink/?linkid=870924
Comment:
    Valores cotados com um fornecedor, sujeitos a variação por mudança de configuração ou fornecedor/marca.</t>
      </text>
    </comment>
    <comment ref="T56" authorId="3" shapeId="0" xr:uid="{42DB098C-B93E-8F42-B357-B687CE058CE0}">
      <text>
        <t xml:space="preserve">[Threaded comment]
Your version of Excel allows you to read this threaded comment; however, any edits to it will get removed if the file is opened in a newer version of Excel. Learn more: https://go.microsoft.com/fwlink/?linkid=870924
Comment:
    No modelo de Balança Fixa, cada piquete recebe 1 balança, pesando, em média, 200 a 300 animais. Considerando tamanhos de lote que não promovam stress animal (co-irmandade), usamos o valor 200 cab. No modelo Móvel, 1 balança fica em cada piquete por 6d e, no 7d, é transferida para outro piquete, voltando para o primeiro piquete a cada ciclo de 4 piquetes. Com isso, uma balança serve, por mês, a 800 cab (4 x 200).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tc={B0ABF65E-098F-FD40-B6CC-A50F27AE4BC3}</author>
    <author>tc={BA603463-45C1-D94E-81FA-3CD8FA33E349}</author>
    <author>tc={1AE3F1EB-5611-464E-BE52-B33C99AC26EF}</author>
    <author>tc={DA5A1ECC-75CB-694E-A884-2BCB3CE02740}</author>
  </authors>
  <commentList>
    <comment ref="C17" authorId="0" shapeId="0" xr:uid="{B0ABF65E-098F-FD40-B6CC-A50F27AE4BC3}">
      <text>
        <t xml:space="preserve">[Threaded comment]
Your version of Excel allows you to read this threaded comment; however, any edits to it will get removed if the file is opened in a newer version of Excel. Learn more: https://go.microsoft.com/fwlink/?linkid=870924
Comment:
    Lotação média, das propriedades acima de 1.000 ha, na safra 2019-2020. ABIEC Beef Report 2020 </t>
      </text>
    </comment>
    <comment ref="C21" authorId="1" shapeId="0" xr:uid="{BA603463-45C1-D94E-81FA-3CD8FA33E349}">
      <text>
        <t xml:space="preserve">[Threaded comment]
Your version of Excel allows you to read this threaded comment; however, any edits to it will get removed if the file is opened in a newer version of Excel. Learn more: https://go.microsoft.com/fwlink/?linkid=870924
Comment:
    O peso vivo médio de abate, na safra 2019-2020, no Brasil, foi de 459.18 kg (242.45 kg carcaça a 52.8% aproveitamento). ABIEC Beef Report 2020 </t>
      </text>
    </comment>
    <comment ref="N57" authorId="2" shapeId="0" xr:uid="{1AE3F1EB-5611-464E-BE52-B33C99AC26EF}">
      <text>
        <t>[Threaded comment]
Your version of Excel allows you to read this threaded comment; however, any edits to it will get removed if the file is opened in a newer version of Excel. Learn more: https://go.microsoft.com/fwlink/?linkid=870924
Comment:
    Valores cotados com um fornecedor, sujeitos a variação por mudança de configuração ou fornecedor/marca.</t>
      </text>
    </comment>
    <comment ref="T57" authorId="3" shapeId="0" xr:uid="{DA5A1ECC-75CB-694E-A884-2BCB3CE02740}">
      <text>
        <t xml:space="preserve">[Threaded comment]
Your version of Excel allows you to read this threaded comment; however, any edits to it will get removed if the file is opened in a newer version of Excel. Learn more: https://go.microsoft.com/fwlink/?linkid=870924
Comment:
    No modelo de Balança Fixa, cada piquete recebe 1 balança, pesando, em média, 200 a 300 animais. Considerando tamanhos de lote que não promovam stress animal (co-irmandade), usamos o valor 200 cab. No modelo Móvel, 1 balança fica em cada piquete por 6d e, no 7d, é transferida para outro piquete, voltando para o primeiro piquete a cada ciclo de 4 piquetes. Com isso, uma balança serve, por mês, a 800 cab (4 x 200).
</t>
      </text>
    </comment>
  </commentList>
</comments>
</file>

<file path=xl/sharedStrings.xml><?xml version="1.0" encoding="utf-8"?>
<sst xmlns="http://schemas.openxmlformats.org/spreadsheetml/2006/main" count="229" uniqueCount="80">
  <si>
    <t>Análise de Custo/Retorno por adoção de Tecnologias</t>
  </si>
  <si>
    <t>Esta planilha visa simular o o ganho incremental, em margem, pelo uso das tecnologias e o ponto de equilíbrio. As células em branco podem ser alteradas pelo usuário. As células com borda roxa são o principal resultado a ser analisado. Este modelo não visa exaurir todos os detalhes, sendo apenas uma simulação inicial. Caso deseje explorar e desenvolver um estudo mais detalhado, contacte a BovExo (marketing@bovexo.com).</t>
  </si>
  <si>
    <t>Pressupostos</t>
  </si>
  <si>
    <t>Qtd Méd de Cabeças</t>
  </si>
  <si>
    <t>Peso Med de Entrada</t>
  </si>
  <si>
    <t>Peso Med de Saída</t>
  </si>
  <si>
    <t>Tempo Med de Ciclo</t>
  </si>
  <si>
    <t>GMD</t>
  </si>
  <si>
    <t>Cons Med Pasto</t>
  </si>
  <si>
    <t>Custo Med do Pasto</t>
  </si>
  <si>
    <t>$ na Formação</t>
  </si>
  <si>
    <t>Vida Útil</t>
  </si>
  <si>
    <t>Prod Med</t>
  </si>
  <si>
    <t>https://pastoextraordinario.com.br/quanto-custa-a-formacao-de-um-hectare-de-pasto/</t>
  </si>
  <si>
    <t>http://www.emater.df.gov.br/wp-content/uploads/2018/06/Brachiaria-Forma%C3%A7%C3%A3o-conv..pdf</t>
  </si>
  <si>
    <t>Ref.:</t>
  </si>
  <si>
    <t>Custo Med da Suplem</t>
  </si>
  <si>
    <t>$ da Compra</t>
  </si>
  <si>
    <t>Consumo</t>
  </si>
  <si>
    <t>Há um baixo investimento em tecnologia, traduzido por (i) pesagem esporádica dos animais (1x ou 2x por ano, nas campanhas de vacinação), (ii) pouco ou nenhum uso de suplementação na dieta animal, (iii) pouco ou nenhum cultivo do pasto (adubação de reposição), etc.</t>
  </si>
  <si>
    <t>ABIEC</t>
  </si>
  <si>
    <t>http://abiec.com.br/publicacoes/beef-report-2020/</t>
  </si>
  <si>
    <t>Qtd Dias Suplem</t>
  </si>
  <si>
    <t>Valor da @ na Venda</t>
  </si>
  <si>
    <t>Aprov. Carcaça</t>
  </si>
  <si>
    <t>Na maioria das pastagens, o investimento, tanto na formação/reforma quanto na reposição, é baixo e insuficiente. Valores de $500/ha na formação/reforma e $300/ha na reposição refletem a média.</t>
  </si>
  <si>
    <t>Há um alto investimento em tecnologias, abrangendo (i) suplementação da dieta durante todo o ciclo, (ii) identificação individual dos animais, (iii) pesagem frequente dos animais, através de balança de passagem, (iv) uso de sistema ERP para gestão de estoques de insumos, custos, etc., (v) uso de consultores externos com foco em gestão (em adição aos zootécnicos/agrônomos) e (vi) correto investimento na formação e manutenção do pasto.</t>
  </si>
  <si>
    <t>CENÁRIO ATUAL (baixa intensidade tecnológica)</t>
  </si>
  <si>
    <t>NOVO CENÁRIO (alta intensidade tecnológica</t>
  </si>
  <si>
    <t>De acordo com as ref citadas, $1.900/ha na formação e $1.250 na manutenção são custos que refletem uma melhor prática de gestão de pasto</t>
  </si>
  <si>
    <t>BAIXA INTENSIDADE TECNOLÓGICA</t>
  </si>
  <si>
    <t>ALTA INTENSIDADE TECNOLÓGICA</t>
  </si>
  <si>
    <t>Receita</t>
  </si>
  <si>
    <t>Custos</t>
  </si>
  <si>
    <t>Dieta</t>
  </si>
  <si>
    <t>Pasto</t>
  </si>
  <si>
    <t>Suplem</t>
  </si>
  <si>
    <t>Operac</t>
  </si>
  <si>
    <t>Zootec</t>
  </si>
  <si>
    <t>Custo Operac Fixo</t>
  </si>
  <si>
    <t>Custo Operac Var.</t>
  </si>
  <si>
    <t>Custos Zootec/Sanid</t>
  </si>
  <si>
    <t>Aquis Animal</t>
  </si>
  <si>
    <t>Custo Aquis Animal</t>
  </si>
  <si>
    <t>Margem Bruta</t>
  </si>
  <si>
    <t>Margem Bruta Incremental</t>
  </si>
  <si>
    <t>Custo Real Total das tecnologias adicionais</t>
  </si>
  <si>
    <t>BovExo</t>
  </si>
  <si>
    <t>Brinco</t>
  </si>
  <si>
    <t>Balança de Passagem</t>
  </si>
  <si>
    <t>Custo Brinco</t>
  </si>
  <si>
    <t>Aquisic.</t>
  </si>
  <si>
    <t>Mensalidade</t>
  </si>
  <si>
    <t>Modelo</t>
  </si>
  <si>
    <t>Fixa</t>
  </si>
  <si>
    <t>ERP</t>
  </si>
  <si>
    <t>Consultor</t>
  </si>
  <si>
    <t>Margem Bruta Atual</t>
  </si>
  <si>
    <t>Margem Liq (após invest em tecnologia)</t>
  </si>
  <si>
    <t>COMPARAÇÃO DOS RESULTADOS (RECEITAS/CUSTOS) DE CENÁRIOS</t>
  </si>
  <si>
    <t>% RELAT DO CUSTO TOTAL TECNOL.</t>
  </si>
  <si>
    <t>Com BovExo, através da otimização e da curva de preços futuros da @ (Carta Pecuária) espera-se que o pecuarista consiga um melhor preço (na verdade, um melhor momento de venda, (preço/margem). 5% melhor que o preço obtido sem BovExo seria razoável de esperar, mas vc pode começar com um preço de @ 1% melhor que o cenário com baixa intensidade tecnológica.</t>
  </si>
  <si>
    <t xml:space="preserve"> Média dos Mais Rentáveis Safra 2019-2020 Benchmarking Inttegra (A. Chaker)</t>
  </si>
  <si>
    <t xml:space="preserve"> Média Geral Safra 2019-2020 Benchmarking Inttegra (A. Chaker)</t>
  </si>
  <si>
    <t>540d = 18 meses x 30d, a recria+engorda do Boi 777. Na pecuária nacional, de baixa intensidade, esse valor deve ser maior. Considerando um abate médio aos 32 meses, teríamos 960d.</t>
  </si>
  <si>
    <t>$ de Manutenção</t>
  </si>
  <si>
    <t>Com um pasto adubado, de maior valor nutritivo, e suplementação, a demanda de MS diminui (em relação ao pasto de basta intensidade tecnológica)</t>
  </si>
  <si>
    <t>Como resultado de um maior GDP, de uma dieta suplementada e de um pasto de maior valor nutritivo, o aprov. de carcaça deve ser superior ao do cenário de baixa intensidade tecnológica</t>
  </si>
  <si>
    <t>uma dieta inferior deve resultar em um aproveitamento de carcaça ao redor de 50%.</t>
  </si>
  <si>
    <t>uma dieta a pasto adubado e suplementação em tempo integral deve gerar um GMD médio entre 0.70 e 0.75 kg.</t>
  </si>
  <si>
    <t>valores médios de um suplemento protéico+energético+mineral industrializado</t>
  </si>
  <si>
    <t>(+)</t>
  </si>
  <si>
    <t>=</t>
  </si>
  <si>
    <t>Custo de um brinco com identificação RFID, descartado após o uso em um animal.</t>
  </si>
  <si>
    <t xml:space="preserve"> Média Geral Safra 2019-2020 Benchmarking Inttegra (A. Chaker) foi de 0.47kg/dia. Os clientes Inttegra são clientes que já adotam algum nível de tecnologia. A média de uma fazenda de baixa intensidade tecnológica deve ser inferior.</t>
  </si>
  <si>
    <t>fruto de uma dieta suplementada, a pasto adubado (maior valor nutritivo) a capacidade de suporte aumenta (em relação ao cenário de baixa intensidade)</t>
  </si>
  <si>
    <t>http://abiec.com.br/publicacoes/beef-report-2020/ ; https://www.comprerural.com/dieta-r060-por-dia-mais-barato-proporciona-um-ganho-de-900g-dia/</t>
  </si>
  <si>
    <t>https://www.scielo.br/scielo.php?script=sci_arttext&amp;pid=S1516-35982009001300016</t>
  </si>
  <si>
    <t>A Margem Bruta Adicional que sobra no bolso</t>
  </si>
  <si>
    <t>Margem Bruta Incremental ajustada para giros equivalentes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</si>
</sst>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4" formatCode="_(&quot;$&quot;* #,##0.00_);_(&quot;$&quot;* \(#,##0.00\);_(&quot;$&quot;* &quot;-&quot;??_);_(@_)"/>
    <numFmt numFmtId="43" formatCode="_(* #,##0.00_);_(* \(#,##0.00\);_(* &quot;-&quot;??_);_(@_)"/>
    <numFmt numFmtId="164" formatCode="#,##0\ &quot;cab&quot;"/>
    <numFmt numFmtId="165" formatCode="#,##0.0\ &quot;kg&quot;"/>
    <numFmt numFmtId="166" formatCode="#,##0\ &quot;dias&quot;"/>
    <numFmt numFmtId="167" formatCode="#,##0.00\ &quot;kg/dia&quot;"/>
    <numFmt numFmtId="168" formatCode="0.00%\ &quot;PV/dia&quot;"/>
    <numFmt numFmtId="169" formatCode="0\ &quot;anos&quot;"/>
    <numFmt numFmtId="170" formatCode="\R&quot;$&quot;\ * #,##0.00\ &quot;/ha&quot;;[Red]\(&quot;$&quot;#,##0.00\)\ &quot;/ha&quot;"/>
    <numFmt numFmtId="171" formatCode="#,##0.0\ &quot;kg MS/ano&quot;"/>
    <numFmt numFmtId="172" formatCode="\R&quot;$&quot;* #,##0.00\ &quot;/kg MS&quot;;_(\R&quot;$&quot;* \(#,##0.00\)\ &quot;/kg MS&quot;"/>
    <numFmt numFmtId="173" formatCode="#,##0.00\ &quot;kg/dia/cab&quot;"/>
    <numFmt numFmtId="174" formatCode="#,##0\ &quot;d&quot;"/>
    <numFmt numFmtId="175" formatCode="\R&quot;$&quot;\ * #,##0&quot; /@&quot;\ ;[Red]\(\R&quot;$&quot;\ * #,##0\)&quot; /@&quot;\ "/>
    <numFmt numFmtId="176" formatCode="#,##0.00\ &quot;UA/ha&quot;"/>
    <numFmt numFmtId="177" formatCode="\R&quot;$&quot;\ * #,##0.00\ &quot;/ha/ano&quot;;[Red]\(&quot;$&quot;#,##0.00\)\ &quot;/ha/ano&quot;"/>
    <numFmt numFmtId="178" formatCode="\R&quot;$&quot;* #,##0.00\ &quot;/kg&quot;;_(\R&quot;$&quot;* \(#,##0.00\)\ &quot;/kg&quot;"/>
    <numFmt numFmtId="179" formatCode="\R&quot;$&quot;\ * #,##0.0\ ;[Red]\(\R&quot;$&quot;\ * #,##0.0\)\ "/>
    <numFmt numFmtId="180" formatCode="\R&quot;$&quot;* #,##0.00\ &quot;/cab&quot;;_(\R&quot;$&quot;* \(#,##0.00\)\ &quot;/cab&quot;"/>
    <numFmt numFmtId="181" formatCode="\R&quot;$&quot;* #,##0.00\ &quot;/cab/mês&quot;;_(\R&quot;$&quot;* \(#,##0.00\)\ &quot;/cab/mês&quot;"/>
    <numFmt numFmtId="182" formatCode="0.0%"/>
    <numFmt numFmtId="183" formatCode="\R&quot;$&quot;\ * #,##0.00\ &quot;/mês/cab&quot;;[Red]\(&quot;$&quot;#,##0.00\)\ &quot;/mês/cab&quot;"/>
    <numFmt numFmtId="184" formatCode="\R&quot;$&quot;\ * #,##0.0&quot; /cab&quot;\ ;[Red]\(\R&quot;$&quot;\ * #,##0.0\)&quot; /cab&quot;\ "/>
    <numFmt numFmtId="185" formatCode="\R&quot;$&quot;\ * #,##0.0\ &quot;mês&quot;\ ;[Red]\(\R&quot;$&quot;\ * #,##0.0\)\ &quot;/mês&quot;"/>
    <numFmt numFmtId="186" formatCode="#,##0\ &quot;anos&quot;"/>
    <numFmt numFmtId="187" formatCode="\R&quot;$&quot;\ * #,##0.00\ &quot;mês/cab&quot;\ ;[Red]\(\R&quot;$&quot;\ * #,##0.00\)\ &quot;mês/cab&quot;"/>
  </numFmts>
  <fonts count="17" x14ac:knownFonts="1">
    <font>
      <sz val="12"/>
      <color theme="1"/>
      <name val="Calibri"/>
      <family val="2"/>
      <scheme val="minor"/>
    </font>
    <font>
      <sz val="12"/>
      <color theme="1"/>
      <name val="Calibri"/>
      <family val="2"/>
      <scheme val="minor"/>
    </font>
    <font>
      <b/>
      <sz val="12"/>
      <color theme="1"/>
      <name val="Calibri"/>
      <family val="2"/>
      <scheme val="minor"/>
    </font>
    <font>
      <sz val="12"/>
      <color theme="1"/>
      <name val="Arial"/>
      <family val="2"/>
    </font>
    <font>
      <sz val="12"/>
      <color theme="1"/>
      <name val="Calibri"/>
      <family val="2"/>
    </font>
    <font>
      <sz val="10"/>
      <color rgb="FF000000"/>
      <name val="Tahoma"/>
      <family val="2"/>
    </font>
    <font>
      <sz val="10"/>
      <color theme="1"/>
      <name val="Calibri"/>
      <family val="2"/>
      <scheme val="minor"/>
    </font>
    <font>
      <sz val="10"/>
      <color rgb="FF7030A0"/>
      <name val="Calibri"/>
      <family val="2"/>
      <scheme val="minor"/>
    </font>
    <font>
      <u/>
      <sz val="12"/>
      <color theme="10"/>
      <name val="Calibri"/>
      <family val="2"/>
      <scheme val="minor"/>
    </font>
    <font>
      <u/>
      <sz val="10"/>
      <color rgb="FF7030A0"/>
      <name val="Calibri"/>
      <family val="2"/>
      <scheme val="minor"/>
    </font>
    <font>
      <sz val="22"/>
      <color theme="1"/>
      <name val="Calibri"/>
      <family val="2"/>
    </font>
    <font>
      <sz val="14"/>
      <color theme="1"/>
      <name val="Calibri"/>
      <family val="2"/>
      <scheme val="minor"/>
    </font>
    <font>
      <b/>
      <sz val="16"/>
      <color theme="1"/>
      <name val="Calibri"/>
      <family val="2"/>
      <scheme val="minor"/>
    </font>
    <font>
      <sz val="9"/>
      <color theme="1"/>
      <name val="Calibri"/>
      <family val="2"/>
      <scheme val="minor"/>
    </font>
    <font>
      <sz val="8"/>
      <color theme="1"/>
      <name val="Calibri"/>
      <family val="2"/>
      <scheme val="minor"/>
    </font>
    <font>
      <b/>
      <sz val="12"/>
      <color rgb="FF7030A0"/>
      <name val="Calibri"/>
      <family val="2"/>
      <scheme val="minor"/>
    </font>
    <font>
      <b/>
      <sz val="14"/>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D8D8D8"/>
        <bgColor rgb="FFD8D8D8"/>
      </patternFill>
    </fill>
    <fill>
      <patternFill patternType="solid">
        <fgColor theme="0"/>
        <bgColor rgb="FFD8D8D8"/>
      </patternFill>
    </fill>
    <fill>
      <patternFill patternType="solid">
        <fgColor theme="0"/>
        <bgColor theme="0"/>
      </patternFill>
    </fill>
    <fill>
      <patternFill patternType="solid">
        <fgColor theme="0"/>
        <bgColor indexed="64"/>
      </patternFill>
    </fill>
    <fill>
      <patternFill patternType="solid">
        <fgColor theme="7"/>
        <bgColor indexed="64"/>
      </patternFill>
    </fill>
    <fill>
      <patternFill patternType="solid">
        <fgColor theme="0" tint="-0.14999847407452621"/>
        <bgColor rgb="FFD8D8D8"/>
      </patternFill>
    </fill>
    <fill>
      <patternFill patternType="solid">
        <fgColor theme="0" tint="-0.14999847407452621"/>
        <bgColor theme="0"/>
      </patternFill>
    </fill>
  </fills>
  <borders count="15">
    <border>
      <left/>
      <right/>
      <top/>
      <bottom/>
      <diagonal/>
    </border>
    <border>
      <left/>
      <right/>
      <top style="thin">
        <color indexed="64"/>
      </top>
      <bottom style="thin">
        <color indexed="64"/>
      </bottom>
      <diagonal/>
    </border>
    <border>
      <left/>
      <right/>
      <top style="dotted">
        <color auto="1"/>
      </top>
      <bottom style="dott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style="thin">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applyNumberFormat="0" applyFill="0" applyBorder="0" applyAlignment="0" applyProtection="0"/>
  </cellStyleXfs>
  <cellXfs count="105">
    <xf numFmtId="0" fontId="0" fillId="0" borderId="0" xfId="0"/>
    <xf numFmtId="0" fontId="0" fillId="2" borderId="0" xfId="0" applyFill="1"/>
    <xf numFmtId="0" fontId="0" fillId="3" borderId="0" xfId="0" applyFill="1"/>
    <xf numFmtId="0" fontId="4" fillId="4" borderId="0" xfId="4" applyFont="1" applyFill="1"/>
    <xf numFmtId="0" fontId="0" fillId="2" borderId="0" xfId="0" applyFill="1" applyAlignment="1">
      <alignment horizontal="center"/>
    </xf>
    <xf numFmtId="164" fontId="4" fillId="5" borderId="0" xfId="4" applyNumberFormat="1" applyFont="1" applyFill="1"/>
    <xf numFmtId="165" fontId="4" fillId="6" borderId="0" xfId="4" applyNumberFormat="1" applyFont="1" applyFill="1"/>
    <xf numFmtId="166" fontId="4" fillId="6" borderId="0" xfId="4" applyNumberFormat="1" applyFont="1" applyFill="1"/>
    <xf numFmtId="0" fontId="0" fillId="2" borderId="0" xfId="0" applyFill="1" applyAlignment="1">
      <alignment wrapText="1"/>
    </xf>
    <xf numFmtId="172" fontId="4" fillId="4" borderId="0" xfId="4" applyNumberFormat="1" applyFont="1" applyFill="1" applyBorder="1"/>
    <xf numFmtId="0" fontId="6" fillId="2" borderId="0" xfId="0" applyFont="1" applyFill="1"/>
    <xf numFmtId="0" fontId="0" fillId="2" borderId="0" xfId="0" applyFill="1" applyAlignment="1">
      <alignment horizontal="right"/>
    </xf>
    <xf numFmtId="0" fontId="0" fillId="2" borderId="2" xfId="0" applyFill="1" applyBorder="1"/>
    <xf numFmtId="168" fontId="0" fillId="7" borderId="0" xfId="0" applyNumberFormat="1" applyFill="1" applyAlignment="1">
      <alignment wrapText="1"/>
    </xf>
    <xf numFmtId="170" fontId="4" fillId="5" borderId="0" xfId="4" applyNumberFormat="1" applyFont="1" applyFill="1" applyBorder="1"/>
    <xf numFmtId="169" fontId="4" fillId="5" borderId="0" xfId="4" applyNumberFormat="1" applyFont="1" applyFill="1" applyBorder="1"/>
    <xf numFmtId="171" fontId="4" fillId="5" borderId="0" xfId="4" applyNumberFormat="1" applyFont="1" applyFill="1" applyBorder="1"/>
    <xf numFmtId="0" fontId="0" fillId="2" borderId="0" xfId="0" applyFill="1" applyAlignment="1">
      <alignment horizontal="center" wrapText="1"/>
    </xf>
    <xf numFmtId="173" fontId="0" fillId="7" borderId="0" xfId="0" applyNumberFormat="1" applyFill="1"/>
    <xf numFmtId="174" fontId="0" fillId="7" borderId="0" xfId="0" applyNumberFormat="1" applyFill="1"/>
    <xf numFmtId="0" fontId="7" fillId="2" borderId="0" xfId="0" applyFont="1" applyFill="1" applyAlignment="1">
      <alignment horizontal="right" wrapText="1"/>
    </xf>
    <xf numFmtId="0" fontId="7" fillId="2" borderId="0" xfId="0" applyFont="1" applyFill="1"/>
    <xf numFmtId="0" fontId="7" fillId="8" borderId="0" xfId="0" applyFont="1" applyFill="1"/>
    <xf numFmtId="175" fontId="0" fillId="7" borderId="0" xfId="2" applyNumberFormat="1" applyFont="1" applyFill="1"/>
    <xf numFmtId="172" fontId="4" fillId="9" borderId="0" xfId="4" applyNumberFormat="1" applyFont="1" applyFill="1" applyBorder="1"/>
    <xf numFmtId="170" fontId="4" fillId="9" borderId="0" xfId="4" applyNumberFormat="1" applyFont="1" applyFill="1" applyBorder="1"/>
    <xf numFmtId="169" fontId="4" fillId="9" borderId="0" xfId="4" applyNumberFormat="1" applyFont="1" applyFill="1" applyBorder="1"/>
    <xf numFmtId="171" fontId="4" fillId="9" borderId="0" xfId="4" applyNumberFormat="1" applyFont="1" applyFill="1" applyBorder="1"/>
    <xf numFmtId="0" fontId="9" fillId="2" borderId="0" xfId="5" applyFont="1" applyFill="1"/>
    <xf numFmtId="176" fontId="0" fillId="2" borderId="0" xfId="1" applyNumberFormat="1" applyFont="1" applyFill="1"/>
    <xf numFmtId="166" fontId="4" fillId="10" borderId="0" xfId="4" applyNumberFormat="1" applyFont="1" applyFill="1"/>
    <xf numFmtId="167" fontId="4" fillId="5" borderId="0" xfId="4" applyNumberFormat="1" applyFont="1" applyFill="1"/>
    <xf numFmtId="165" fontId="4" fillId="9" borderId="0" xfId="4" applyNumberFormat="1" applyFont="1" applyFill="1"/>
    <xf numFmtId="177" fontId="4" fillId="5" borderId="0" xfId="4" applyNumberFormat="1" applyFont="1" applyFill="1" applyBorder="1"/>
    <xf numFmtId="178" fontId="0" fillId="7" borderId="0" xfId="0" applyNumberFormat="1" applyFont="1" applyFill="1" applyBorder="1"/>
    <xf numFmtId="179" fontId="0" fillId="2" borderId="0" xfId="0" applyNumberFormat="1" applyFill="1"/>
    <xf numFmtId="180" fontId="0" fillId="7" borderId="0" xfId="0" applyNumberFormat="1" applyFont="1" applyFill="1" applyBorder="1"/>
    <xf numFmtId="180" fontId="0" fillId="2" borderId="0" xfId="0" applyNumberFormat="1" applyFont="1" applyFill="1" applyBorder="1"/>
    <xf numFmtId="181" fontId="0" fillId="7" borderId="0" xfId="0" applyNumberFormat="1" applyFont="1" applyFill="1" applyBorder="1"/>
    <xf numFmtId="170" fontId="4" fillId="9" borderId="0" xfId="4" applyNumberFormat="1" applyFont="1" applyFill="1" applyBorder="1" applyAlignment="1">
      <alignment horizontal="right"/>
    </xf>
    <xf numFmtId="165" fontId="4" fillId="10" borderId="0" xfId="4" applyNumberFormat="1" applyFont="1" applyFill="1"/>
    <xf numFmtId="179" fontId="0" fillId="2" borderId="1" xfId="0" applyNumberFormat="1" applyFill="1" applyBorder="1"/>
    <xf numFmtId="0" fontId="0" fillId="2" borderId="1" xfId="0" applyFill="1" applyBorder="1"/>
    <xf numFmtId="0" fontId="0" fillId="2" borderId="11" xfId="0" applyFill="1" applyBorder="1"/>
    <xf numFmtId="179" fontId="0" fillId="2" borderId="11" xfId="0" applyNumberFormat="1" applyFill="1" applyBorder="1"/>
    <xf numFmtId="0" fontId="0" fillId="2" borderId="2" xfId="0" applyFill="1" applyBorder="1" applyAlignment="1">
      <alignment horizontal="right"/>
    </xf>
    <xf numFmtId="179" fontId="0" fillId="2" borderId="2" xfId="0" applyNumberFormat="1" applyFill="1" applyBorder="1"/>
    <xf numFmtId="182" fontId="0" fillId="2" borderId="0" xfId="3" applyNumberFormat="1" applyFont="1" applyFill="1"/>
    <xf numFmtId="0" fontId="0" fillId="2" borderId="12" xfId="0" applyFill="1" applyBorder="1"/>
    <xf numFmtId="186" fontId="0" fillId="2" borderId="13" xfId="0" applyNumberFormat="1" applyFill="1" applyBorder="1"/>
    <xf numFmtId="179" fontId="0" fillId="7" borderId="13" xfId="0" applyNumberFormat="1" applyFill="1" applyBorder="1"/>
    <xf numFmtId="185" fontId="0" fillId="7" borderId="13" xfId="0" applyNumberFormat="1" applyFill="1" applyBorder="1"/>
    <xf numFmtId="170" fontId="4" fillId="9" borderId="11" xfId="4" applyNumberFormat="1" applyFont="1" applyFill="1" applyBorder="1"/>
    <xf numFmtId="169" fontId="4" fillId="9" borderId="11" xfId="4" applyNumberFormat="1" applyFont="1" applyFill="1" applyBorder="1"/>
    <xf numFmtId="170" fontId="4" fillId="9" borderId="14" xfId="4" applyNumberFormat="1" applyFont="1" applyFill="1" applyBorder="1"/>
    <xf numFmtId="169" fontId="4" fillId="9" borderId="14" xfId="4" applyNumberFormat="1" applyFont="1" applyFill="1" applyBorder="1"/>
    <xf numFmtId="180" fontId="0" fillId="2" borderId="14" xfId="0" applyNumberFormat="1" applyFont="1" applyFill="1" applyBorder="1"/>
    <xf numFmtId="0" fontId="0" fillId="2" borderId="14" xfId="0" applyFill="1" applyBorder="1"/>
    <xf numFmtId="187" fontId="0" fillId="2" borderId="0" xfId="0" applyNumberFormat="1" applyFill="1"/>
    <xf numFmtId="0" fontId="0" fillId="2" borderId="9" xfId="0" applyFill="1" applyBorder="1" applyAlignment="1">
      <alignment horizontal="right"/>
    </xf>
    <xf numFmtId="182" fontId="0" fillId="2" borderId="9" xfId="3" applyNumberFormat="1" applyFont="1" applyFill="1" applyBorder="1"/>
    <xf numFmtId="187" fontId="0" fillId="2" borderId="9" xfId="0" applyNumberFormat="1" applyFill="1" applyBorder="1"/>
    <xf numFmtId="0" fontId="11" fillId="2" borderId="0" xfId="0" applyFont="1" applyFill="1" applyAlignment="1">
      <alignment horizontal="right"/>
    </xf>
    <xf numFmtId="183" fontId="11" fillId="2" borderId="0" xfId="0" applyNumberFormat="1" applyFont="1" applyFill="1"/>
    <xf numFmtId="187" fontId="11" fillId="2" borderId="0" xfId="0" applyNumberFormat="1" applyFont="1" applyFill="1"/>
    <xf numFmtId="0" fontId="11" fillId="2" borderId="0" xfId="0" applyFont="1" applyFill="1"/>
    <xf numFmtId="0" fontId="12" fillId="2" borderId="0" xfId="0" applyFont="1" applyFill="1"/>
    <xf numFmtId="0" fontId="12" fillId="2" borderId="0" xfId="0" applyFont="1" applyFill="1" applyAlignment="1">
      <alignment horizontal="right"/>
    </xf>
    <xf numFmtId="187" fontId="12" fillId="2" borderId="0" xfId="0" applyNumberFormat="1" applyFont="1" applyFill="1"/>
    <xf numFmtId="182" fontId="14" fillId="2" borderId="0" xfId="3" applyNumberFormat="1" applyFont="1" applyFill="1" applyAlignment="1">
      <alignment horizontal="left"/>
    </xf>
    <xf numFmtId="182" fontId="6" fillId="2" borderId="0" xfId="3" applyNumberFormat="1" applyFont="1" applyFill="1"/>
    <xf numFmtId="182" fontId="6" fillId="2" borderId="9" xfId="3" applyNumberFormat="1" applyFont="1" applyFill="1" applyBorder="1"/>
    <xf numFmtId="44" fontId="0" fillId="2" borderId="0" xfId="2" applyFont="1" applyFill="1"/>
    <xf numFmtId="0" fontId="16" fillId="2" borderId="11" xfId="0" applyFont="1" applyFill="1" applyBorder="1"/>
    <xf numFmtId="182" fontId="16" fillId="2" borderId="11" xfId="0" applyNumberFormat="1" applyFont="1" applyFill="1" applyBorder="1"/>
    <xf numFmtId="187" fontId="16" fillId="2" borderId="11" xfId="0" applyNumberFormat="1" applyFont="1" applyFill="1" applyBorder="1"/>
    <xf numFmtId="0" fontId="13" fillId="2" borderId="0" xfId="0" applyFont="1" applyFill="1" applyAlignment="1">
      <alignment wrapText="1"/>
    </xf>
    <xf numFmtId="181" fontId="16" fillId="2" borderId="0" xfId="0" applyNumberFormat="1" applyFont="1" applyFill="1" applyBorder="1"/>
    <xf numFmtId="0" fontId="16" fillId="2" borderId="0" xfId="0" applyFont="1" applyFill="1"/>
    <xf numFmtId="0" fontId="0" fillId="2" borderId="12" xfId="0" applyFill="1" applyBorder="1" applyAlignment="1">
      <alignment horizontal="right"/>
    </xf>
    <xf numFmtId="0" fontId="0" fillId="7" borderId="13" xfId="0" applyFill="1" applyBorder="1" applyAlignment="1">
      <alignment horizontal="right"/>
    </xf>
    <xf numFmtId="0" fontId="0" fillId="2" borderId="1" xfId="0" applyFill="1" applyBorder="1" applyAlignment="1">
      <alignment horizontal="right"/>
    </xf>
    <xf numFmtId="184" fontId="0" fillId="2" borderId="13" xfId="0" applyNumberFormat="1" applyFont="1" applyFill="1" applyBorder="1"/>
    <xf numFmtId="182" fontId="0" fillId="7" borderId="0" xfId="3" applyNumberFormat="1" applyFont="1" applyFill="1"/>
    <xf numFmtId="174" fontId="0" fillId="2" borderId="0" xfId="0" applyNumberFormat="1" applyFill="1" applyAlignment="1">
      <alignment horizontal="center"/>
    </xf>
    <xf numFmtId="180" fontId="0" fillId="2" borderId="0" xfId="0" applyNumberFormat="1" applyFont="1" applyFill="1" applyBorder="1" applyAlignment="1">
      <alignment vertical="center"/>
    </xf>
    <xf numFmtId="170" fontId="4" fillId="9" borderId="0" xfId="4" quotePrefix="1" applyNumberFormat="1" applyFont="1" applyFill="1" applyBorder="1" applyAlignment="1">
      <alignment horizontal="right"/>
    </xf>
    <xf numFmtId="0" fontId="7" fillId="2" borderId="0" xfId="0" applyFont="1" applyFill="1" applyAlignment="1">
      <alignment horizontal="left" wrapText="1"/>
    </xf>
    <xf numFmtId="0" fontId="7" fillId="2" borderId="0" xfId="0" applyFont="1" applyFill="1" applyAlignment="1">
      <alignment horizontal="center" wrapText="1"/>
    </xf>
    <xf numFmtId="0" fontId="2" fillId="2" borderId="0" xfId="0" applyFont="1" applyFill="1" applyAlignment="1">
      <alignment horizontal="center" wrapText="1"/>
    </xf>
    <xf numFmtId="0" fontId="15" fillId="2" borderId="0" xfId="0" applyFont="1" applyFill="1" applyAlignment="1">
      <alignment horizontal="center" wrapText="1"/>
    </xf>
    <xf numFmtId="0" fontId="0" fillId="2" borderId="1" xfId="0" applyFill="1" applyBorder="1" applyAlignment="1">
      <alignment horizontal="center" vertical="center"/>
    </xf>
    <xf numFmtId="0" fontId="0" fillId="2" borderId="1" xfId="0" applyFill="1" applyBorder="1" applyAlignment="1">
      <alignment horizontal="center"/>
    </xf>
    <xf numFmtId="0" fontId="0" fillId="2" borderId="2" xfId="0" applyFill="1" applyBorder="1" applyAlignment="1">
      <alignment horizontal="center" wrapText="1"/>
    </xf>
    <xf numFmtId="0" fontId="4" fillId="4" borderId="3" xfId="4" applyFont="1" applyFill="1" applyBorder="1" applyAlignment="1">
      <alignment horizontal="center" vertical="center" wrapText="1"/>
    </xf>
    <xf numFmtId="0" fontId="4" fillId="4" borderId="4" xfId="4" applyFont="1" applyFill="1" applyBorder="1" applyAlignment="1">
      <alignment horizontal="center" vertical="center" wrapText="1"/>
    </xf>
    <xf numFmtId="0" fontId="4" fillId="4" borderId="5" xfId="4" applyFont="1" applyFill="1" applyBorder="1" applyAlignment="1">
      <alignment horizontal="center" vertical="center" wrapText="1"/>
    </xf>
    <xf numFmtId="0" fontId="4" fillId="4" borderId="6" xfId="4" applyFont="1" applyFill="1" applyBorder="1" applyAlignment="1">
      <alignment horizontal="center" vertical="center" wrapText="1"/>
    </xf>
    <xf numFmtId="0" fontId="4" fillId="4" borderId="0" xfId="4" applyFont="1" applyFill="1" applyBorder="1" applyAlignment="1">
      <alignment horizontal="center" vertical="center" wrapText="1"/>
    </xf>
    <xf numFmtId="0" fontId="4" fillId="4" borderId="7" xfId="4" applyFont="1" applyFill="1" applyBorder="1" applyAlignment="1">
      <alignment horizontal="center" vertical="center" wrapText="1"/>
    </xf>
    <xf numFmtId="0" fontId="4" fillId="4" borderId="8" xfId="4" applyFont="1" applyFill="1" applyBorder="1" applyAlignment="1">
      <alignment horizontal="center" vertical="center" wrapText="1"/>
    </xf>
    <xf numFmtId="0" fontId="4" fillId="4" borderId="9" xfId="4" applyFont="1" applyFill="1" applyBorder="1" applyAlignment="1">
      <alignment horizontal="center" vertical="center" wrapText="1"/>
    </xf>
    <xf numFmtId="0" fontId="4" fillId="4" borderId="10" xfId="4" applyFont="1" applyFill="1" applyBorder="1" applyAlignment="1">
      <alignment horizontal="center" vertical="center" wrapText="1"/>
    </xf>
    <xf numFmtId="0" fontId="10" fillId="4" borderId="0" xfId="4" applyFont="1" applyFill="1" applyAlignment="1">
      <alignment horizontal="center"/>
    </xf>
    <xf numFmtId="0" fontId="0" fillId="2" borderId="0" xfId="0" applyFill="1" applyAlignment="1">
      <alignment horizontal="center" wrapText="1"/>
    </xf>
  </cellXfs>
  <cellStyles count="6">
    <cellStyle name="Comma" xfId="1" builtinId="3"/>
    <cellStyle name="Currency" xfId="2" builtinId="4"/>
    <cellStyle name="Hyperlink" xfId="5" builtinId="8"/>
    <cellStyle name="Normal" xfId="0" builtinId="0"/>
    <cellStyle name="Normal 2" xfId="4" xr:uid="{1B5E2B9E-2039-944E-8455-88243EBB6C3B}"/>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f>_xlchart.v1.0</cx:f>
      </cx:strDim>
      <cx:numDim type="val">
        <cx:f>_xlchart.v1.1</cx:f>
      </cx:numDim>
    </cx:data>
  </cx:chartData>
  <cx:chart>
    <cx:title pos="t" align="ctr" overlay="0">
      <cx:tx>
        <cx:txData>
          <cx:v>CUSTO / RETORNO DO INVESTIMENTO NA TECNOLOGIA</cx:v>
        </cx:txData>
      </cx:tx>
      <cx:txPr>
        <a:bodyPr spcFirstLastPara="1" vertOverflow="ellipsis" horzOverflow="overflow" wrap="square" lIns="0" tIns="0" rIns="0" bIns="0" anchor="ctr" anchorCtr="1"/>
        <a:lstStyle/>
        <a:p>
          <a:pPr algn="ctr" rtl="0">
            <a:defRPr sz="2000">
              <a:solidFill>
                <a:schemeClr val="tx1"/>
              </a:solidFill>
            </a:defRPr>
          </a:pPr>
          <a:r>
            <a:rPr lang="en-US" sz="2000" b="0" i="0" u="none" strike="noStrike" baseline="0">
              <a:solidFill>
                <a:schemeClr val="tx1"/>
              </a:solidFill>
              <a:latin typeface="Calibri" panose="020F0502020204030204"/>
            </a:rPr>
            <a:t>CUSTO / RETORNO DO INVESTIMENTO NA TECNOLOGIA</a:t>
          </a:r>
        </a:p>
      </cx:txPr>
    </cx:title>
    <cx:plotArea>
      <cx:plotAreaRegion>
        <cx:series layoutId="waterfall" uniqueId="{AAF4F438-AC00-7344-B34D-B0E715E98C5D}" formatIdx="1">
          <cx:dataPt idx="7"/>
          <cx:dataPt idx="8">
            <cx:spPr>
              <a:solidFill>
                <a:srgbClr val="70AD47"/>
              </a:solidFill>
            </cx:spPr>
          </cx:dataPt>
          <cx:dataLabels pos="outEnd">
            <cx:txPr>
              <a:bodyPr vertOverflow="overflow" horzOverflow="overflow" wrap="square" lIns="0" tIns="0" rIns="0" bIns="0"/>
              <a:lstStyle/>
              <a:p>
                <a:pPr algn="ctr" rtl="0">
                  <a:defRPr sz="1600" b="0" i="0">
                    <a:solidFill>
                      <a:schemeClr val="tx1"/>
                    </a:solidFill>
                    <a:latin typeface="Calibri" panose="020F0502020204030204" pitchFamily="34" charset="0"/>
                    <a:ea typeface="Calibri" panose="020F0502020204030204" pitchFamily="34" charset="0"/>
                    <a:cs typeface="Calibri" panose="020F0502020204030204" pitchFamily="34" charset="0"/>
                  </a:defRPr>
                </a:pPr>
                <a:endParaRPr lang="en-US" sz="1600">
                  <a:solidFill>
                    <a:schemeClr val="tx1"/>
                  </a:solidFill>
                </a:endParaRPr>
              </a:p>
            </cx:txPr>
            <cx:visibility seriesName="0" categoryName="0" value="1"/>
          </cx:dataLabels>
          <cx:dataId val="0"/>
          <cx:layoutPr>
            <cx:subtotals>
              <cx:idx val="7"/>
            </cx:subtotals>
          </cx:layoutPr>
        </cx:series>
      </cx:plotAreaRegion>
      <cx:axis id="0">
        <cx:catScaling gapWidth="0.5"/>
        <cx:tickLabels/>
        <cx:txPr>
          <a:bodyPr vertOverflow="overflow" horzOverflow="overflow" wrap="square" lIns="0" tIns="0" rIns="0" bIns="0"/>
          <a:lstStyle/>
          <a:p>
            <a:pPr algn="ctr" rtl="0">
              <a:defRPr sz="1600" b="0" i="0">
                <a:solidFill>
                  <a:schemeClr val="tx1"/>
                </a:solidFill>
                <a:latin typeface="Calibri" panose="020F0502020204030204" pitchFamily="34" charset="0"/>
                <a:ea typeface="Calibri" panose="020F0502020204030204" pitchFamily="34" charset="0"/>
                <a:cs typeface="Calibri" panose="020F0502020204030204" pitchFamily="34" charset="0"/>
              </a:defRPr>
            </a:pPr>
            <a:endParaRPr lang="en-US" sz="1600">
              <a:solidFill>
                <a:schemeClr val="tx1"/>
              </a:solidFill>
            </a:endParaRPr>
          </a:p>
        </cx:txPr>
      </cx:axis>
      <cx:axis id="1">
        <cx:valScaling/>
        <cx:majorGridlines/>
        <cx:tickLabels/>
        <cx:txPr>
          <a:bodyPr vertOverflow="overflow" horzOverflow="overflow" wrap="square" lIns="0" tIns="0" rIns="0" bIns="0"/>
          <a:lstStyle/>
          <a:p>
            <a:pPr algn="ctr" rtl="0">
              <a:defRPr sz="1600" b="0" i="0">
                <a:solidFill>
                  <a:schemeClr val="tx1"/>
                </a:solidFill>
                <a:latin typeface="Calibri" panose="020F0502020204030204" pitchFamily="34" charset="0"/>
                <a:ea typeface="Calibri" panose="020F0502020204030204" pitchFamily="34" charset="0"/>
                <a:cs typeface="Calibri" panose="020F0502020204030204" pitchFamily="34" charset="0"/>
              </a:defRPr>
            </a:pPr>
            <a:endParaRPr lang="en-US" sz="1600">
              <a:solidFill>
                <a:schemeClr val="tx1"/>
              </a:solidFill>
            </a:endParaRPr>
          </a:p>
        </cx:txPr>
      </cx:axis>
    </cx:plotArea>
    <cx:legend pos="t" align="ctr" overlay="0">
      <cx:txPr>
        <a:bodyPr vertOverflow="overflow" horzOverflow="overflow" wrap="square" lIns="0" tIns="0" rIns="0" bIns="0"/>
        <a:lstStyle/>
        <a:p>
          <a:pPr algn="ctr" rtl="0">
            <a:defRPr sz="1600" b="0" i="0">
              <a:solidFill>
                <a:schemeClr val="tx1"/>
              </a:solidFill>
              <a:latin typeface="Calibri" panose="020F0502020204030204" pitchFamily="34" charset="0"/>
              <a:ea typeface="Calibri" panose="020F0502020204030204" pitchFamily="34" charset="0"/>
              <a:cs typeface="Calibri" panose="020F0502020204030204" pitchFamily="34" charset="0"/>
            </a:defRPr>
          </a:pPr>
          <a:endParaRPr lang="en-US" sz="1600">
            <a:solidFill>
              <a:schemeClr val="tx1"/>
            </a:solidFill>
          </a:endParaRPr>
        </a:p>
      </cx:txPr>
    </cx:legend>
  </cx:chart>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f>_xlchart.v1.2</cx:f>
      </cx:strDim>
      <cx:numDim type="val">
        <cx:f>_xlchart.v1.3</cx:f>
      </cx:numDim>
    </cx:data>
  </cx:chartData>
  <cx:chart>
    <cx:title pos="t" align="ctr" overlay="0">
      <cx:tx>
        <cx:txData>
          <cx:v>CUSTO / RETORNO DO INVESTIMENTO NA TECNOLOGIA</cx:v>
        </cx:txData>
      </cx:tx>
      <cx:txPr>
        <a:bodyPr spcFirstLastPara="1" vertOverflow="ellipsis" horzOverflow="overflow" wrap="square" lIns="0" tIns="0" rIns="0" bIns="0" anchor="ctr" anchorCtr="1"/>
        <a:lstStyle/>
        <a:p>
          <a:pPr algn="ctr" rtl="0">
            <a:defRPr sz="2000">
              <a:solidFill>
                <a:schemeClr val="tx1"/>
              </a:solidFill>
            </a:defRPr>
          </a:pPr>
          <a:r>
            <a:rPr lang="en-US" sz="2000" b="0" i="0" u="none" strike="noStrike" baseline="0">
              <a:solidFill>
                <a:schemeClr val="tx1"/>
              </a:solidFill>
              <a:latin typeface="Calibri" panose="020F0502020204030204"/>
            </a:rPr>
            <a:t>CUSTO / RETORNO DO INVESTIMENTO NA TECNOLOGIA</a:t>
          </a:r>
        </a:p>
      </cx:txPr>
    </cx:title>
    <cx:plotArea>
      <cx:plotAreaRegion>
        <cx:series layoutId="waterfall" uniqueId="{AAF4F438-AC00-7344-B34D-B0E715E98C5D}" formatIdx="1">
          <cx:dataPt idx="7"/>
          <cx:dataPt idx="8">
            <cx:spPr>
              <a:solidFill>
                <a:srgbClr val="70AD47"/>
              </a:solidFill>
            </cx:spPr>
          </cx:dataPt>
          <cx:dataLabels pos="outEnd">
            <cx:txPr>
              <a:bodyPr vertOverflow="overflow" horzOverflow="overflow" wrap="square" lIns="0" tIns="0" rIns="0" bIns="0"/>
              <a:lstStyle/>
              <a:p>
                <a:pPr algn="ctr" rtl="0">
                  <a:defRPr sz="1600" b="0" i="0">
                    <a:solidFill>
                      <a:schemeClr val="tx1"/>
                    </a:solidFill>
                    <a:latin typeface="Calibri" panose="020F0502020204030204" pitchFamily="34" charset="0"/>
                    <a:ea typeface="Calibri" panose="020F0502020204030204" pitchFamily="34" charset="0"/>
                    <a:cs typeface="Calibri" panose="020F0502020204030204" pitchFamily="34" charset="0"/>
                  </a:defRPr>
                </a:pPr>
                <a:endParaRPr lang="en-US" sz="1600">
                  <a:solidFill>
                    <a:schemeClr val="tx1"/>
                  </a:solidFill>
                </a:endParaRPr>
              </a:p>
            </cx:txPr>
            <cx:visibility seriesName="0" categoryName="0" value="1"/>
          </cx:dataLabels>
          <cx:dataId val="0"/>
          <cx:layoutPr>
            <cx:subtotals>
              <cx:idx val="7"/>
            </cx:subtotals>
          </cx:layoutPr>
        </cx:series>
      </cx:plotAreaRegion>
      <cx:axis id="0">
        <cx:catScaling gapWidth="0.5"/>
        <cx:tickLabels/>
        <cx:txPr>
          <a:bodyPr vertOverflow="overflow" horzOverflow="overflow" wrap="square" lIns="0" tIns="0" rIns="0" bIns="0"/>
          <a:lstStyle/>
          <a:p>
            <a:pPr algn="ctr" rtl="0">
              <a:defRPr sz="1600" b="0" i="0">
                <a:solidFill>
                  <a:schemeClr val="tx1"/>
                </a:solidFill>
                <a:latin typeface="Calibri" panose="020F0502020204030204" pitchFamily="34" charset="0"/>
                <a:ea typeface="Calibri" panose="020F0502020204030204" pitchFamily="34" charset="0"/>
                <a:cs typeface="Calibri" panose="020F0502020204030204" pitchFamily="34" charset="0"/>
              </a:defRPr>
            </a:pPr>
            <a:endParaRPr lang="en-US" sz="1600">
              <a:solidFill>
                <a:schemeClr val="tx1"/>
              </a:solidFill>
            </a:endParaRPr>
          </a:p>
        </cx:txPr>
      </cx:axis>
      <cx:axis id="1">
        <cx:valScaling/>
        <cx:majorGridlines/>
        <cx:tickLabels/>
        <cx:txPr>
          <a:bodyPr vertOverflow="overflow" horzOverflow="overflow" wrap="square" lIns="0" tIns="0" rIns="0" bIns="0"/>
          <a:lstStyle/>
          <a:p>
            <a:pPr algn="ctr" rtl="0">
              <a:defRPr sz="1600" b="0" i="0">
                <a:solidFill>
                  <a:schemeClr val="tx1"/>
                </a:solidFill>
                <a:latin typeface="Calibri" panose="020F0502020204030204" pitchFamily="34" charset="0"/>
                <a:ea typeface="Calibri" panose="020F0502020204030204" pitchFamily="34" charset="0"/>
                <a:cs typeface="Calibri" panose="020F0502020204030204" pitchFamily="34" charset="0"/>
              </a:defRPr>
            </a:pPr>
            <a:endParaRPr lang="en-US" sz="1600">
              <a:solidFill>
                <a:schemeClr val="tx1"/>
              </a:solidFill>
            </a:endParaRPr>
          </a:p>
        </cx:txPr>
      </cx:axis>
    </cx:plotArea>
    <cx:legend pos="t" align="ctr" overlay="0">
      <cx:txPr>
        <a:bodyPr vertOverflow="overflow" horzOverflow="overflow" wrap="square" lIns="0" tIns="0" rIns="0" bIns="0"/>
        <a:lstStyle/>
        <a:p>
          <a:pPr algn="ctr" rtl="0">
            <a:defRPr sz="1600" b="0" i="0">
              <a:solidFill>
                <a:schemeClr val="tx1"/>
              </a:solidFill>
              <a:latin typeface="Calibri" panose="020F0502020204030204" pitchFamily="34" charset="0"/>
              <a:ea typeface="Calibri" panose="020F0502020204030204" pitchFamily="34" charset="0"/>
              <a:cs typeface="Calibri" panose="020F0502020204030204" pitchFamily="34" charset="0"/>
            </a:defRPr>
          </a:pPr>
          <a:endParaRPr lang="en-US" sz="1600">
            <a:solidFill>
              <a:schemeClr val="tx1"/>
            </a:solidFill>
          </a:endParaRPr>
        </a:p>
      </cx:txPr>
    </cx:legend>
  </cx:chart>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95">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microsoft.com/office/2014/relationships/chartEx" Target="../charts/chartEx1.xm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14/relationships/chartEx" Target="../charts/chartEx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330200</xdr:colOff>
      <xdr:row>2</xdr:row>
      <xdr:rowOff>38100</xdr:rowOff>
    </xdr:from>
    <xdr:ext cx="904875" cy="1314450"/>
    <xdr:pic>
      <xdr:nvPicPr>
        <xdr:cNvPr id="2" name="image1.png">
          <a:extLst>
            <a:ext uri="{FF2B5EF4-FFF2-40B4-BE49-F238E27FC236}">
              <a16:creationId xmlns:a16="http://schemas.microsoft.com/office/drawing/2014/main" id="{98F462E2-C34D-504B-B730-EAF9C56EC5DA}"/>
            </a:ext>
          </a:extLst>
        </xdr:cNvPr>
        <xdr:cNvPicPr preferRelativeResize="0"/>
      </xdr:nvPicPr>
      <xdr:blipFill>
        <a:blip xmlns:r="http://schemas.openxmlformats.org/officeDocument/2006/relationships" r:embed="rId1" cstate="print"/>
        <a:stretch>
          <a:fillRect/>
        </a:stretch>
      </xdr:blipFill>
      <xdr:spPr>
        <a:xfrm>
          <a:off x="1155700" y="444500"/>
          <a:ext cx="904875" cy="1314450"/>
        </a:xfrm>
        <a:prstGeom prst="rect">
          <a:avLst/>
        </a:prstGeom>
        <a:noFill/>
      </xdr:spPr>
    </xdr:pic>
    <xdr:clientData fLocksWithSheet="0"/>
  </xdr:oneCellAnchor>
  <xdr:twoCellAnchor>
    <xdr:from>
      <xdr:col>1</xdr:col>
      <xdr:colOff>502674</xdr:colOff>
      <xdr:row>73</xdr:row>
      <xdr:rowOff>34821</xdr:rowOff>
    </xdr:from>
    <xdr:to>
      <xdr:col>14</xdr:col>
      <xdr:colOff>1544894</xdr:colOff>
      <xdr:row>114</xdr:row>
      <xdr:rowOff>13519</xdr:rowOff>
    </xdr:to>
    <mc:AlternateContent xmlns:mc="http://schemas.openxmlformats.org/markup-compatibility/2006">
      <mc:Choice xmlns:cx1="http://schemas.microsoft.com/office/drawing/2015/9/8/chartex" Requires="cx1">
        <xdr:graphicFrame macro="">
          <xdr:nvGraphicFramePr>
            <xdr:cNvPr id="5" name="Chart 4">
              <a:extLst>
                <a:ext uri="{FF2B5EF4-FFF2-40B4-BE49-F238E27FC236}">
                  <a16:creationId xmlns:a16="http://schemas.microsoft.com/office/drawing/2014/main" id="{0FC50C03-CD25-D446-9030-3FF013457F8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328174" y="17154421"/>
              <a:ext cx="16320320" cy="8309898"/>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oneCellAnchor>
    <xdr:from>
      <xdr:col>1</xdr:col>
      <xdr:colOff>330200</xdr:colOff>
      <xdr:row>2</xdr:row>
      <xdr:rowOff>38100</xdr:rowOff>
    </xdr:from>
    <xdr:ext cx="904875" cy="1314450"/>
    <xdr:pic>
      <xdr:nvPicPr>
        <xdr:cNvPr id="2" name="image1.png">
          <a:extLst>
            <a:ext uri="{FF2B5EF4-FFF2-40B4-BE49-F238E27FC236}">
              <a16:creationId xmlns:a16="http://schemas.microsoft.com/office/drawing/2014/main" id="{36705910-97EB-3A4E-ADF3-E60FD3D840D8}"/>
            </a:ext>
          </a:extLst>
        </xdr:cNvPr>
        <xdr:cNvPicPr preferRelativeResize="0"/>
      </xdr:nvPicPr>
      <xdr:blipFill>
        <a:blip xmlns:r="http://schemas.openxmlformats.org/officeDocument/2006/relationships" r:embed="rId1" cstate="print"/>
        <a:stretch>
          <a:fillRect/>
        </a:stretch>
      </xdr:blipFill>
      <xdr:spPr>
        <a:xfrm>
          <a:off x="1155700" y="444500"/>
          <a:ext cx="904875" cy="1314450"/>
        </a:xfrm>
        <a:prstGeom prst="rect">
          <a:avLst/>
        </a:prstGeom>
        <a:noFill/>
      </xdr:spPr>
    </xdr:pic>
    <xdr:clientData fLocksWithSheet="0"/>
  </xdr:oneCellAnchor>
  <xdr:twoCellAnchor>
    <xdr:from>
      <xdr:col>1</xdr:col>
      <xdr:colOff>502674</xdr:colOff>
      <xdr:row>74</xdr:row>
      <xdr:rowOff>34821</xdr:rowOff>
    </xdr:from>
    <xdr:to>
      <xdr:col>14</xdr:col>
      <xdr:colOff>1544894</xdr:colOff>
      <xdr:row>115</xdr:row>
      <xdr:rowOff>13519</xdr:rowOff>
    </xdr:to>
    <mc:AlternateContent xmlns:mc="http://schemas.openxmlformats.org/markup-compatibility/2006">
      <mc:Choice xmlns:cx1="http://schemas.microsoft.com/office/drawing/2015/9/8/chartex" Requires="cx1">
        <xdr:graphicFrame macro="">
          <xdr:nvGraphicFramePr>
            <xdr:cNvPr id="3" name="Chart 2">
              <a:extLst>
                <a:ext uri="{FF2B5EF4-FFF2-40B4-BE49-F238E27FC236}">
                  <a16:creationId xmlns:a16="http://schemas.microsoft.com/office/drawing/2014/main" id="{BA7ED604-AB6B-3143-8157-25675FB41D72}"/>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1328174" y="17129021"/>
              <a:ext cx="16320320" cy="8309898"/>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wsDr>
</file>

<file path=xl/persons/person.xml><?xml version="1.0" encoding="utf-8"?>
<personList xmlns="http://schemas.microsoft.com/office/spreadsheetml/2018/threadedcomments" xmlns:x="http://schemas.openxmlformats.org/spreadsheetml/2006/main">
  <person displayName="Carlos Jorge Pinto Gomes" id="{7560D61C-534D-CB48-9D60-1D81148541AA}" userId="8ae49218caf52ef5"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7" dT="2021-07-20T18:40:10.68" personId="{7560D61C-534D-CB48-9D60-1D81148541AA}" id="{B695084F-98F9-5C40-AB79-44C9565F8D9D}">
    <text xml:space="preserve">Lotação média, das propriedades acima de 1.000 ha, na safra 2019-2020. ABIEC Beef Report 2020 </text>
  </threadedComment>
  <threadedComment ref="C21" dT="2021-07-20T18:34:59.36" personId="{7560D61C-534D-CB48-9D60-1D81148541AA}" id="{D78E1E20-5499-2A4E-809C-41F54631BCDD}">
    <text xml:space="preserve">O peso vivo médio de abate, na safra 2019-2020, no Brasil, foi de 459.18 kg (242.45 kg carcaça a 52.8% aproveitamento). ABIEC Beef Report 2020 </text>
  </threadedComment>
  <threadedComment ref="N56" dT="2021-07-21T20:39:11.89" personId="{7560D61C-534D-CB48-9D60-1D81148541AA}" id="{84F31559-D1D7-684C-91FE-E2A48EE6CFBD}">
    <text>Valores cotados com um fornecedor, sujeitos a variação por mudança de configuração ou fornecedor/marca.</text>
  </threadedComment>
  <threadedComment ref="T56" dT="2021-07-21T20:41:27.42" personId="{7560D61C-534D-CB48-9D60-1D81148541AA}" id="{42DB098C-B93E-8F42-B357-B687CE058CE0}">
    <text xml:space="preserve">No modelo de Balança Fixa, cada piquete recebe 1 balança, pesando, em média, 200 a 300 animais. Considerando tamanhos de lote que não promovam stress animal (co-irmandade), usamos o valor 200 cab. No modelo Móvel, 1 balança fica em cada piquete por 6d e, no 7d, é transferida para outro piquete, voltando para o primeiro piquete a cada ciclo de 4 piquetes. Com isso, uma balança serve, por mês, a 800 cab (4 x 200).
</text>
  </threadedComment>
</ThreadedComments>
</file>

<file path=xl/threadedComments/threadedComment2.xml><?xml version="1.0" encoding="utf-8"?>
<ThreadedComments xmlns="http://schemas.microsoft.com/office/spreadsheetml/2018/threadedcomments" xmlns:x="http://schemas.openxmlformats.org/spreadsheetml/2006/main">
  <threadedComment ref="C17" dT="2021-07-20T18:40:10.68" personId="{7560D61C-534D-CB48-9D60-1D81148541AA}" id="{B0ABF65E-098F-FD40-B6CC-A50F27AE4BC3}">
    <text xml:space="preserve">Lotação média, das propriedades acima de 1.000 ha, na safra 2019-2020. ABIEC Beef Report 2020 </text>
  </threadedComment>
  <threadedComment ref="C21" dT="2021-07-20T18:34:59.36" personId="{7560D61C-534D-CB48-9D60-1D81148541AA}" id="{BA603463-45C1-D94E-81FA-3CD8FA33E349}">
    <text xml:space="preserve">O peso vivo médio de abate, na safra 2019-2020, no Brasil, foi de 459.18 kg (242.45 kg carcaça a 52.8% aproveitamento). ABIEC Beef Report 2020 </text>
  </threadedComment>
  <threadedComment ref="N57" dT="2021-07-21T20:39:11.89" personId="{7560D61C-534D-CB48-9D60-1D81148541AA}" id="{1AE3F1EB-5611-464E-BE52-B33C99AC26EF}">
    <text>Valores cotados com um fornecedor, sujeitos a variação por mudança de configuração ou fornecedor/marca.</text>
  </threadedComment>
  <threadedComment ref="T57" dT="2021-07-21T20:41:27.42" personId="{7560D61C-534D-CB48-9D60-1D81148541AA}" id="{DA5A1ECC-75CB-694E-A884-2BCB3CE02740}">
    <text xml:space="preserve">No modelo de Balança Fixa, cada piquete recebe 1 balança, pesando, em média, 200 a 300 animais. Considerando tamanhos de lote que não promovam stress animal (co-irmandade), usamos o valor 200 cab. No modelo Móvel, 1 balança fica em cada piquete por 6d e, no 7d, é transferida para outro piquete, voltando para o primeiro piquete a cada ciclo de 4 piquetes. Com isso, uma balança serve, por mês, a 800 cab (4 x 200).
</text>
  </threadedComment>
</ThreadedComments>
</file>

<file path=xl/worksheets/_rels/sheet1.xml.rels><?xml version="1.0" encoding="UTF-8" standalone="yes"?>
<Relationships xmlns="http://schemas.openxmlformats.org/package/2006/relationships"><Relationship Id="rId8" Type="http://schemas.microsoft.com/office/2017/10/relationships/threadedComment" Target="../threadedComments/threadedComment1.xml"/><Relationship Id="rId3" Type="http://schemas.openxmlformats.org/officeDocument/2006/relationships/hyperlink" Target="http://abiec.com.br/publicacoes/beef-report-2020/" TargetMode="External"/><Relationship Id="rId7" Type="http://schemas.openxmlformats.org/officeDocument/2006/relationships/comments" Target="../comments1.xml"/><Relationship Id="rId2" Type="http://schemas.openxmlformats.org/officeDocument/2006/relationships/hyperlink" Target="http://www.emater.df.gov.br/wp-content/uploads/2018/06/Brachiaria-Forma%C3%A7%C3%A3o-conv..pdf" TargetMode="External"/><Relationship Id="rId1" Type="http://schemas.openxmlformats.org/officeDocument/2006/relationships/hyperlink" Target="https://pastoextraordinario.com.br/quanto-custa-a-formacao-de-um-hectare-de-pasto/"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hyperlink" Target="http://abiec.com.br/publicacoes/beef-report-2020/" TargetMode="External"/></Relationships>
</file>

<file path=xl/worksheets/_rels/sheet2.xml.rels><?xml version="1.0" encoding="UTF-8" standalone="yes"?>
<Relationships xmlns="http://schemas.openxmlformats.org/package/2006/relationships"><Relationship Id="rId8" Type="http://schemas.microsoft.com/office/2017/10/relationships/threadedComment" Target="../threadedComments/threadedComment2.xml"/><Relationship Id="rId3" Type="http://schemas.openxmlformats.org/officeDocument/2006/relationships/hyperlink" Target="http://abiec.com.br/publicacoes/beef-report-2020/" TargetMode="External"/><Relationship Id="rId7" Type="http://schemas.openxmlformats.org/officeDocument/2006/relationships/comments" Target="../comments2.xml"/><Relationship Id="rId2" Type="http://schemas.openxmlformats.org/officeDocument/2006/relationships/hyperlink" Target="http://www.emater.df.gov.br/wp-content/uploads/2018/06/Brachiaria-Forma%C3%A7%C3%A3o-conv..pdf" TargetMode="External"/><Relationship Id="rId1" Type="http://schemas.openxmlformats.org/officeDocument/2006/relationships/hyperlink" Target="https://pastoextraordinario.com.br/quanto-custa-a-formacao-de-um-hectare-de-pasto/"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hyperlink" Target="http://abiec.com.br/publicacoes/beef-report-202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B03BE-A664-2141-9F78-C7D1FF244C35}">
  <dimension ref="B3:X115"/>
  <sheetViews>
    <sheetView tabSelected="1" zoomScaleNormal="100" workbookViewId="0">
      <selection activeCell="D19" sqref="D19:I19"/>
    </sheetView>
  </sheetViews>
  <sheetFormatPr baseColWidth="10" defaultRowHeight="16" x14ac:dyDescent="0.2"/>
  <cols>
    <col min="1" max="1" width="10.83203125" style="1"/>
    <col min="2" max="2" width="20.1640625" style="1" customWidth="1"/>
    <col min="3" max="3" width="16.33203125" style="1" customWidth="1"/>
    <col min="4" max="4" width="10.83203125" style="1"/>
    <col min="5" max="5" width="15" style="1" customWidth="1"/>
    <col min="6" max="6" width="20.1640625" style="1" customWidth="1"/>
    <col min="7" max="7" width="11.1640625" style="1" bestFit="1" customWidth="1"/>
    <col min="8" max="8" width="22.1640625" style="1" bestFit="1" customWidth="1"/>
    <col min="9" max="9" width="8.6640625" style="1" customWidth="1"/>
    <col min="10" max="10" width="10.83203125" style="1"/>
    <col min="11" max="11" width="21.5" style="1" customWidth="1"/>
    <col min="12" max="12" width="16" style="1" customWidth="1"/>
    <col min="13" max="13" width="10.83203125" style="1"/>
    <col min="14" max="14" width="16.83203125" style="1" customWidth="1"/>
    <col min="15" max="15" width="20.33203125" style="1" customWidth="1"/>
    <col min="16" max="16" width="17" style="1" customWidth="1"/>
    <col min="17" max="17" width="20.6640625" style="1" customWidth="1"/>
    <col min="18" max="18" width="12.5" style="1" bestFit="1" customWidth="1"/>
    <col min="19" max="20" width="10.83203125" style="1"/>
    <col min="21" max="21" width="18.6640625" style="1" customWidth="1"/>
    <col min="22" max="16384" width="10.83203125" style="1"/>
  </cols>
  <sheetData>
    <row r="3" spans="2:22" ht="29" x14ac:dyDescent="0.35">
      <c r="B3" s="2"/>
      <c r="D3" s="103" t="s">
        <v>0</v>
      </c>
      <c r="E3" s="103"/>
      <c r="F3" s="103"/>
      <c r="G3" s="103"/>
      <c r="H3" s="103"/>
      <c r="I3" s="103"/>
      <c r="J3" s="103"/>
      <c r="K3" s="103"/>
      <c r="L3" s="103"/>
      <c r="M3" s="103"/>
      <c r="N3" s="103"/>
      <c r="O3" s="103"/>
      <c r="P3" s="103"/>
      <c r="Q3" s="103"/>
      <c r="R3" s="103"/>
      <c r="S3" s="103"/>
      <c r="T3" s="103"/>
      <c r="U3" s="103"/>
      <c r="V3" s="103"/>
    </row>
    <row r="4" spans="2:22" x14ac:dyDescent="0.2">
      <c r="B4" s="2"/>
      <c r="D4" s="3"/>
      <c r="E4" s="3"/>
      <c r="F4" s="3"/>
      <c r="G4" s="3"/>
      <c r="H4" s="3"/>
      <c r="I4" s="3"/>
    </row>
    <row r="5" spans="2:22" ht="16" customHeight="1" x14ac:dyDescent="0.2">
      <c r="B5" s="2"/>
      <c r="D5" s="94" t="s">
        <v>1</v>
      </c>
      <c r="E5" s="95"/>
      <c r="F5" s="95"/>
      <c r="G5" s="95"/>
      <c r="H5" s="95"/>
      <c r="I5" s="95"/>
      <c r="J5" s="95"/>
      <c r="K5" s="95"/>
      <c r="L5" s="95"/>
      <c r="M5" s="95"/>
      <c r="N5" s="95"/>
      <c r="O5" s="95"/>
      <c r="P5" s="95"/>
      <c r="Q5" s="95"/>
      <c r="R5" s="95"/>
      <c r="S5" s="95"/>
      <c r="T5" s="95"/>
      <c r="U5" s="95"/>
      <c r="V5" s="96"/>
    </row>
    <row r="6" spans="2:22" x14ac:dyDescent="0.2">
      <c r="B6" s="2"/>
      <c r="D6" s="97"/>
      <c r="E6" s="98"/>
      <c r="F6" s="98"/>
      <c r="G6" s="98"/>
      <c r="H6" s="98"/>
      <c r="I6" s="98"/>
      <c r="J6" s="98"/>
      <c r="K6" s="98"/>
      <c r="L6" s="98"/>
      <c r="M6" s="98"/>
      <c r="N6" s="98"/>
      <c r="O6" s="98"/>
      <c r="P6" s="98"/>
      <c r="Q6" s="98"/>
      <c r="R6" s="98"/>
      <c r="S6" s="98"/>
      <c r="T6" s="98"/>
      <c r="U6" s="98"/>
      <c r="V6" s="99"/>
    </row>
    <row r="7" spans="2:22" x14ac:dyDescent="0.2">
      <c r="B7" s="2"/>
      <c r="D7" s="97"/>
      <c r="E7" s="98"/>
      <c r="F7" s="98"/>
      <c r="G7" s="98"/>
      <c r="H7" s="98"/>
      <c r="I7" s="98"/>
      <c r="J7" s="98"/>
      <c r="K7" s="98"/>
      <c r="L7" s="98"/>
      <c r="M7" s="98"/>
      <c r="N7" s="98"/>
      <c r="O7" s="98"/>
      <c r="P7" s="98"/>
      <c r="Q7" s="98"/>
      <c r="R7" s="98"/>
      <c r="S7" s="98"/>
      <c r="T7" s="98"/>
      <c r="U7" s="98"/>
      <c r="V7" s="99"/>
    </row>
    <row r="8" spans="2:22" x14ac:dyDescent="0.2">
      <c r="B8" s="2"/>
      <c r="D8" s="97"/>
      <c r="E8" s="98"/>
      <c r="F8" s="98"/>
      <c r="G8" s="98"/>
      <c r="H8" s="98"/>
      <c r="I8" s="98"/>
      <c r="J8" s="98"/>
      <c r="K8" s="98"/>
      <c r="L8" s="98"/>
      <c r="M8" s="98"/>
      <c r="N8" s="98"/>
      <c r="O8" s="98"/>
      <c r="P8" s="98"/>
      <c r="Q8" s="98"/>
      <c r="R8" s="98"/>
      <c r="S8" s="98"/>
      <c r="T8" s="98"/>
      <c r="U8" s="98"/>
      <c r="V8" s="99"/>
    </row>
    <row r="9" spans="2:22" x14ac:dyDescent="0.2">
      <c r="B9" s="2"/>
      <c r="D9" s="100"/>
      <c r="E9" s="101"/>
      <c r="F9" s="101"/>
      <c r="G9" s="101"/>
      <c r="H9" s="101"/>
      <c r="I9" s="101"/>
      <c r="J9" s="101"/>
      <c r="K9" s="101"/>
      <c r="L9" s="101"/>
      <c r="M9" s="101"/>
      <c r="N9" s="101"/>
      <c r="O9" s="101"/>
      <c r="P9" s="101"/>
      <c r="Q9" s="101"/>
      <c r="R9" s="101"/>
      <c r="S9" s="101"/>
      <c r="T9" s="101"/>
      <c r="U9" s="101"/>
      <c r="V9" s="102"/>
    </row>
    <row r="12" spans="2:22" x14ac:dyDescent="0.2">
      <c r="B12" s="92" t="s">
        <v>27</v>
      </c>
      <c r="C12" s="92"/>
      <c r="D12" s="92"/>
      <c r="E12" s="92"/>
      <c r="F12" s="92"/>
      <c r="G12" s="92"/>
      <c r="H12" s="92"/>
      <c r="I12" s="92"/>
      <c r="K12" s="92" t="s">
        <v>28</v>
      </c>
      <c r="L12" s="92"/>
      <c r="M12" s="92"/>
      <c r="N12" s="92"/>
      <c r="O12" s="92"/>
      <c r="P12" s="92"/>
      <c r="Q12" s="92"/>
      <c r="R12" s="92"/>
      <c r="S12" s="92"/>
      <c r="T12" s="92"/>
      <c r="U12" s="92"/>
      <c r="V12" s="92"/>
    </row>
    <row r="14" spans="2:22" ht="61" customHeight="1" x14ac:dyDescent="0.2">
      <c r="B14" s="12" t="s">
        <v>2</v>
      </c>
      <c r="C14" s="93" t="s">
        <v>19</v>
      </c>
      <c r="D14" s="93"/>
      <c r="E14" s="93"/>
      <c r="F14" s="93"/>
      <c r="G14" s="93"/>
      <c r="H14" s="93"/>
      <c r="I14" s="93"/>
      <c r="K14" s="12" t="s">
        <v>2</v>
      </c>
      <c r="L14" s="93" t="s">
        <v>26</v>
      </c>
      <c r="M14" s="93"/>
      <c r="N14" s="93"/>
      <c r="O14" s="93"/>
      <c r="P14" s="93"/>
      <c r="Q14" s="93"/>
      <c r="R14" s="93"/>
      <c r="S14" s="93"/>
      <c r="T14" s="93"/>
      <c r="U14" s="93"/>
      <c r="V14" s="93"/>
    </row>
    <row r="17" spans="2:24" x14ac:dyDescent="0.2">
      <c r="B17" s="1" t="s">
        <v>3</v>
      </c>
      <c r="C17" s="5">
        <v>1425</v>
      </c>
      <c r="D17" s="21" t="str">
        <f>CONCATENATE("Qtd med de cabeças abatidas num ano, depois de um ciclo Recria/Engorda de ",C20," dias")</f>
        <v>Qtd med de cabeças abatidas num ano, depois de um ciclo Recria/Engorda de 540 dias</v>
      </c>
      <c r="K17" s="1" t="s">
        <v>3</v>
      </c>
      <c r="L17" s="5">
        <v>1800</v>
      </c>
      <c r="M17" s="21" t="s">
        <v>75</v>
      </c>
      <c r="W17" s="20" t="s">
        <v>15</v>
      </c>
      <c r="X17" s="28" t="s">
        <v>21</v>
      </c>
    </row>
    <row r="18" spans="2:24" x14ac:dyDescent="0.2">
      <c r="B18" s="1" t="s">
        <v>4</v>
      </c>
      <c r="C18" s="6">
        <v>225</v>
      </c>
      <c r="K18" s="1" t="s">
        <v>4</v>
      </c>
      <c r="L18" s="40">
        <f>C18</f>
        <v>225</v>
      </c>
      <c r="W18" s="20" t="s">
        <v>15</v>
      </c>
      <c r="X18" s="21"/>
    </row>
    <row r="19" spans="2:24" ht="30" customHeight="1" x14ac:dyDescent="0.2">
      <c r="B19" s="1" t="s">
        <v>7</v>
      </c>
      <c r="C19" s="31">
        <v>0.41</v>
      </c>
      <c r="D19" s="87" t="s">
        <v>74</v>
      </c>
      <c r="E19" s="87"/>
      <c r="F19" s="87"/>
      <c r="G19" s="87"/>
      <c r="H19" s="87"/>
      <c r="I19" s="87"/>
      <c r="K19" s="1" t="s">
        <v>7</v>
      </c>
      <c r="L19" s="31">
        <v>0.72</v>
      </c>
      <c r="M19" s="21" t="s">
        <v>69</v>
      </c>
      <c r="W19" s="20" t="s">
        <v>15</v>
      </c>
      <c r="X19" s="28" t="s">
        <v>76</v>
      </c>
    </row>
    <row r="20" spans="2:24" ht="31" customHeight="1" x14ac:dyDescent="0.2">
      <c r="B20" s="1" t="s">
        <v>6</v>
      </c>
      <c r="C20" s="7">
        <v>540</v>
      </c>
      <c r="D20" s="87" t="s">
        <v>64</v>
      </c>
      <c r="E20" s="87"/>
      <c r="F20" s="87"/>
      <c r="G20" s="87"/>
      <c r="H20" s="87"/>
      <c r="I20" s="87"/>
      <c r="K20" s="1" t="s">
        <v>6</v>
      </c>
      <c r="L20" s="30">
        <f>C20</f>
        <v>540</v>
      </c>
      <c r="W20" s="20" t="s">
        <v>15</v>
      </c>
      <c r="X20" s="22" t="s">
        <v>20</v>
      </c>
    </row>
    <row r="21" spans="2:24" x14ac:dyDescent="0.2">
      <c r="B21" s="3" t="s">
        <v>5</v>
      </c>
      <c r="C21" s="32">
        <f>C18+C19*C20</f>
        <v>446.4</v>
      </c>
      <c r="K21" s="3" t="s">
        <v>5</v>
      </c>
      <c r="L21" s="32">
        <f>L18+(L20*L19)</f>
        <v>613.79999999999995</v>
      </c>
      <c r="W21" s="21"/>
      <c r="X21" s="21"/>
    </row>
    <row r="22" spans="2:24" ht="15" customHeight="1" x14ac:dyDescent="0.2">
      <c r="C22" s="29"/>
      <c r="L22" s="29"/>
      <c r="W22" s="21"/>
      <c r="X22" s="21"/>
    </row>
    <row r="23" spans="2:24" s="8" customFormat="1" ht="15" customHeight="1" x14ac:dyDescent="0.2">
      <c r="B23" s="8" t="s">
        <v>8</v>
      </c>
      <c r="C23" s="13">
        <v>2.5000000000000001E-2</v>
      </c>
      <c r="E23" s="8" t="s">
        <v>10</v>
      </c>
      <c r="F23" s="17" t="s">
        <v>65</v>
      </c>
      <c r="G23" s="17" t="s">
        <v>11</v>
      </c>
      <c r="H23" s="17" t="s">
        <v>12</v>
      </c>
      <c r="K23" s="8" t="s">
        <v>8</v>
      </c>
      <c r="L23" s="13">
        <v>2.3E-2</v>
      </c>
      <c r="M23" s="87" t="s">
        <v>66</v>
      </c>
      <c r="N23" s="87"/>
      <c r="O23" s="87"/>
      <c r="P23" s="87"/>
      <c r="Q23" s="87"/>
      <c r="R23" s="87"/>
      <c r="S23" s="87"/>
      <c r="T23" s="87"/>
      <c r="U23" s="87"/>
      <c r="W23" s="20" t="s">
        <v>15</v>
      </c>
      <c r="X23" s="28" t="s">
        <v>13</v>
      </c>
    </row>
    <row r="24" spans="2:24" ht="17" x14ac:dyDescent="0.2">
      <c r="B24" s="1" t="s">
        <v>9</v>
      </c>
      <c r="C24" s="9">
        <f>(E24+(F24*G24))/(G24*H24)</f>
        <v>9.7411294839636661E-2</v>
      </c>
      <c r="E24" s="14">
        <v>500</v>
      </c>
      <c r="F24" s="33">
        <v>300</v>
      </c>
      <c r="G24" s="15">
        <v>5</v>
      </c>
      <c r="H24" s="16">
        <v>4106.3</v>
      </c>
      <c r="K24" s="1" t="s">
        <v>9</v>
      </c>
      <c r="L24" s="9">
        <f>(O24+(Q24*S24))/(S24*U24)</f>
        <v>0.11690209449585971</v>
      </c>
      <c r="N24" s="8" t="s">
        <v>10</v>
      </c>
      <c r="O24" s="14">
        <v>1900</v>
      </c>
      <c r="P24" s="17" t="s">
        <v>65</v>
      </c>
      <c r="Q24" s="33">
        <v>1250</v>
      </c>
      <c r="R24" s="17" t="s">
        <v>11</v>
      </c>
      <c r="S24" s="15">
        <v>10</v>
      </c>
      <c r="T24" s="17" t="s">
        <v>12</v>
      </c>
      <c r="U24" s="16">
        <v>12318</v>
      </c>
      <c r="W24" s="20" t="s">
        <v>15</v>
      </c>
      <c r="X24" s="28" t="s">
        <v>14</v>
      </c>
    </row>
    <row r="25" spans="2:24" ht="31" customHeight="1" x14ac:dyDescent="0.2">
      <c r="C25" s="85">
        <f>AVERAGE(C18,C21)*C23*C24*C20</f>
        <v>441.46311764849133</v>
      </c>
      <c r="E25" s="88" t="s">
        <v>25</v>
      </c>
      <c r="F25" s="88"/>
      <c r="G25" s="88"/>
      <c r="H25" s="88"/>
      <c r="L25" s="85">
        <f>AVERAGE(L18,L21)*L23*L24*L20</f>
        <v>608.93693132001931</v>
      </c>
      <c r="N25" s="88" t="s">
        <v>29</v>
      </c>
      <c r="O25" s="88"/>
      <c r="P25" s="88"/>
      <c r="Q25" s="88"/>
      <c r="R25" s="20"/>
    </row>
    <row r="26" spans="2:24" x14ac:dyDescent="0.2">
      <c r="C26" s="24"/>
      <c r="E26" s="25"/>
      <c r="F26" s="25"/>
      <c r="G26" s="26"/>
      <c r="H26" s="27"/>
      <c r="I26" s="20"/>
    </row>
    <row r="27" spans="2:24" x14ac:dyDescent="0.2">
      <c r="E27" s="4" t="s">
        <v>17</v>
      </c>
      <c r="F27" s="4" t="s">
        <v>18</v>
      </c>
      <c r="G27" s="1" t="s">
        <v>22</v>
      </c>
      <c r="H27" s="4"/>
      <c r="I27" s="10"/>
      <c r="N27" s="4" t="s">
        <v>17</v>
      </c>
      <c r="O27" s="4" t="s">
        <v>18</v>
      </c>
      <c r="P27" s="1" t="s">
        <v>22</v>
      </c>
    </row>
    <row r="28" spans="2:24" x14ac:dyDescent="0.2">
      <c r="B28" s="1" t="s">
        <v>16</v>
      </c>
      <c r="C28" s="37">
        <f>E28*F28*G28</f>
        <v>0</v>
      </c>
      <c r="E28" s="34">
        <v>0</v>
      </c>
      <c r="F28" s="18">
        <v>0</v>
      </c>
      <c r="G28" s="19">
        <v>0</v>
      </c>
      <c r="K28" s="1" t="s">
        <v>16</v>
      </c>
      <c r="L28" s="37">
        <f>N28*O28*P28</f>
        <v>828</v>
      </c>
      <c r="N28" s="34">
        <f>115/30</f>
        <v>3.8333333333333335</v>
      </c>
      <c r="O28" s="18">
        <v>0.4</v>
      </c>
      <c r="P28" s="84">
        <f>L20</f>
        <v>540</v>
      </c>
      <c r="Q28" s="21" t="s">
        <v>70</v>
      </c>
      <c r="W28" s="20" t="s">
        <v>15</v>
      </c>
      <c r="X28" s="28" t="s">
        <v>77</v>
      </c>
    </row>
    <row r="30" spans="2:24" x14ac:dyDescent="0.2">
      <c r="B30" s="1" t="s">
        <v>24</v>
      </c>
      <c r="C30" s="83">
        <v>0.5</v>
      </c>
      <c r="D30" s="21" t="s">
        <v>68</v>
      </c>
      <c r="K30" s="1" t="s">
        <v>24</v>
      </c>
      <c r="L30" s="83">
        <v>0.52</v>
      </c>
      <c r="M30" s="21" t="s">
        <v>67</v>
      </c>
    </row>
    <row r="32" spans="2:24" ht="30" customHeight="1" x14ac:dyDescent="0.2">
      <c r="B32" s="1" t="s">
        <v>23</v>
      </c>
      <c r="C32" s="23">
        <v>290</v>
      </c>
      <c r="K32" s="1" t="s">
        <v>23</v>
      </c>
      <c r="L32" s="23">
        <f>C32*1.01</f>
        <v>292.89999999999998</v>
      </c>
      <c r="M32" s="87" t="s">
        <v>61</v>
      </c>
      <c r="N32" s="87"/>
      <c r="O32" s="87"/>
      <c r="P32" s="87"/>
      <c r="Q32" s="87"/>
      <c r="R32" s="87"/>
      <c r="S32" s="87"/>
      <c r="T32" s="87"/>
      <c r="U32" s="87"/>
    </row>
    <row r="33" spans="2:21" x14ac:dyDescent="0.2">
      <c r="M33" s="21"/>
      <c r="N33" s="10"/>
      <c r="O33" s="10"/>
      <c r="P33" s="10"/>
      <c r="Q33" s="10"/>
      <c r="R33" s="10"/>
      <c r="S33" s="10"/>
      <c r="T33" s="10"/>
      <c r="U33" s="10"/>
    </row>
    <row r="34" spans="2:21" x14ac:dyDescent="0.2">
      <c r="B34" s="1" t="s">
        <v>39</v>
      </c>
      <c r="C34" s="38">
        <v>26.82</v>
      </c>
      <c r="D34" s="21" t="s">
        <v>63</v>
      </c>
      <c r="K34" s="1" t="s">
        <v>39</v>
      </c>
      <c r="L34" s="38">
        <v>25.85</v>
      </c>
      <c r="M34" s="21" t="s">
        <v>62</v>
      </c>
    </row>
    <row r="35" spans="2:21" x14ac:dyDescent="0.2">
      <c r="B35" s="1" t="s">
        <v>40</v>
      </c>
      <c r="C35" s="38">
        <v>44.51</v>
      </c>
      <c r="D35" s="21" t="s">
        <v>63</v>
      </c>
      <c r="K35" s="1" t="s">
        <v>40</v>
      </c>
      <c r="L35" s="38">
        <v>47.59</v>
      </c>
      <c r="M35" s="21" t="s">
        <v>62</v>
      </c>
    </row>
    <row r="36" spans="2:21" x14ac:dyDescent="0.2">
      <c r="B36" s="1" t="s">
        <v>41</v>
      </c>
      <c r="C36" s="38">
        <v>1.57</v>
      </c>
      <c r="D36" s="21" t="s">
        <v>63</v>
      </c>
      <c r="K36" s="1" t="s">
        <v>41</v>
      </c>
      <c r="L36" s="38">
        <v>1.64</v>
      </c>
      <c r="M36" s="21" t="s">
        <v>62</v>
      </c>
    </row>
    <row r="37" spans="2:21" x14ac:dyDescent="0.2">
      <c r="B37" s="1" t="s">
        <v>43</v>
      </c>
      <c r="C37" s="36">
        <v>2500</v>
      </c>
      <c r="K37" s="1" t="s">
        <v>43</v>
      </c>
      <c r="L37" s="37">
        <f>C37</f>
        <v>2500</v>
      </c>
    </row>
    <row r="39" spans="2:21" ht="50" customHeight="1" x14ac:dyDescent="0.2">
      <c r="F39" s="42"/>
      <c r="G39" s="91" t="s">
        <v>59</v>
      </c>
      <c r="H39" s="91"/>
      <c r="I39" s="91"/>
      <c r="J39" s="91"/>
      <c r="K39" s="91"/>
    </row>
    <row r="40" spans="2:21" x14ac:dyDescent="0.2">
      <c r="G40" s="89" t="s">
        <v>30</v>
      </c>
      <c r="H40" s="89"/>
      <c r="I40" s="89"/>
      <c r="J40" s="90" t="s">
        <v>31</v>
      </c>
      <c r="K40" s="90"/>
      <c r="L40" s="90"/>
    </row>
    <row r="41" spans="2:21" x14ac:dyDescent="0.2">
      <c r="E41" s="11" t="s">
        <v>71</v>
      </c>
      <c r="F41" s="42" t="s">
        <v>32</v>
      </c>
      <c r="G41" s="42"/>
      <c r="H41" s="41">
        <f>C17*C21/15*C30*C32</f>
        <v>6149160</v>
      </c>
      <c r="I41" s="42"/>
      <c r="J41" s="42"/>
      <c r="K41" s="41">
        <f>L17*L21/15*L30*L32</f>
        <v>11218398.048</v>
      </c>
    </row>
    <row r="42" spans="2:21" x14ac:dyDescent="0.2">
      <c r="E42" s="11" t="s">
        <v>71</v>
      </c>
      <c r="F42" s="43" t="s">
        <v>33</v>
      </c>
      <c r="G42" s="43"/>
      <c r="H42" s="44">
        <f>H43+H46+H47+H48</f>
        <v>-6061469.9426491</v>
      </c>
      <c r="I42" s="43"/>
      <c r="J42" s="43"/>
      <c r="K42" s="44">
        <f>K43+K46+K47+K48</f>
        <v>-9519078.4763760343</v>
      </c>
    </row>
    <row r="43" spans="2:21" x14ac:dyDescent="0.2">
      <c r="E43" s="11"/>
      <c r="F43" s="45" t="s">
        <v>34</v>
      </c>
      <c r="G43" s="12"/>
      <c r="H43" s="46">
        <f>SUM(H44:H45)</f>
        <v>-629084.94264910021</v>
      </c>
      <c r="I43" s="12"/>
      <c r="J43" s="12"/>
      <c r="K43" s="46">
        <f>SUM(K44:K45)</f>
        <v>-2586486.4763760348</v>
      </c>
    </row>
    <row r="44" spans="2:21" x14ac:dyDescent="0.2">
      <c r="C44" s="72"/>
      <c r="E44" s="11"/>
      <c r="G44" s="11" t="s">
        <v>35</v>
      </c>
      <c r="H44" s="35">
        <f>-AVERAGE(C18,C21)*C23*C20*C24*C17</f>
        <v>-629084.94264910021</v>
      </c>
      <c r="K44" s="35">
        <f>-AVERAGE(L18,L21)*L23*L24*L20*L17</f>
        <v>-1096086.4763760348</v>
      </c>
    </row>
    <row r="45" spans="2:21" x14ac:dyDescent="0.2">
      <c r="C45" s="72"/>
      <c r="E45" s="11"/>
      <c r="G45" s="11" t="s">
        <v>36</v>
      </c>
      <c r="H45" s="35">
        <f>-C28*C17</f>
        <v>0</v>
      </c>
      <c r="K45" s="35">
        <f>-L28*L17</f>
        <v>-1490400</v>
      </c>
    </row>
    <row r="46" spans="2:21" x14ac:dyDescent="0.2">
      <c r="C46" s="72"/>
      <c r="E46" s="11"/>
      <c r="F46" s="11" t="s">
        <v>37</v>
      </c>
      <c r="H46" s="35">
        <f>-SUM(C34:C35)*C17*(C20/30)</f>
        <v>-1829614.5</v>
      </c>
      <c r="K46" s="35">
        <f>-SUM(L34:L35)*L17*(L20/30)</f>
        <v>-2379456</v>
      </c>
    </row>
    <row r="47" spans="2:21" x14ac:dyDescent="0.2">
      <c r="C47" s="72"/>
      <c r="E47" s="11"/>
      <c r="F47" s="11" t="s">
        <v>38</v>
      </c>
      <c r="H47" s="35">
        <f>-C36*C17*(C20/30)</f>
        <v>-40270.5</v>
      </c>
      <c r="K47" s="35">
        <f>-L36*L17*(L20/30)</f>
        <v>-53136</v>
      </c>
    </row>
    <row r="48" spans="2:21" x14ac:dyDescent="0.2">
      <c r="C48" s="72"/>
      <c r="E48" s="39"/>
      <c r="F48" s="39" t="s">
        <v>42</v>
      </c>
      <c r="G48" s="26"/>
      <c r="H48" s="35">
        <f>-C17*C37</f>
        <v>-3562500</v>
      </c>
      <c r="K48" s="35">
        <f>-L17*L37</f>
        <v>-4500000</v>
      </c>
    </row>
    <row r="49" spans="3:20" x14ac:dyDescent="0.2">
      <c r="C49" s="72"/>
      <c r="E49" s="86" t="s">
        <v>72</v>
      </c>
      <c r="F49" s="52" t="s">
        <v>44</v>
      </c>
      <c r="G49" s="53"/>
      <c r="H49" s="44">
        <f>H41+H42</f>
        <v>87690.057350900024</v>
      </c>
      <c r="I49" s="43"/>
      <c r="J49" s="43"/>
      <c r="K49" s="44">
        <f>K41+K42</f>
        <v>1699319.5716239661</v>
      </c>
    </row>
    <row r="50" spans="3:20" x14ac:dyDescent="0.2">
      <c r="C50" s="24"/>
      <c r="E50" s="25"/>
      <c r="F50" s="54"/>
      <c r="G50" s="55"/>
      <c r="H50" s="56">
        <f>H49/C17</f>
        <v>61.536882351508787</v>
      </c>
      <c r="I50" s="57"/>
      <c r="J50" s="57"/>
      <c r="K50" s="56">
        <f>K49/L17</f>
        <v>944.06642867998119</v>
      </c>
    </row>
    <row r="51" spans="3:20" x14ac:dyDescent="0.2">
      <c r="F51" s="1" t="s">
        <v>45</v>
      </c>
      <c r="G51" s="4"/>
      <c r="H51" s="37">
        <f>IF(H49&gt;K49,H49-K49)/C17</f>
        <v>0</v>
      </c>
      <c r="K51" s="37">
        <f>IF(K49&gt;H49,(K49-H49),0)/L17</f>
        <v>895.3497301517034</v>
      </c>
    </row>
    <row r="52" spans="3:20" ht="19" x14ac:dyDescent="0.25">
      <c r="G52" s="65"/>
      <c r="H52" s="77">
        <f>H51/(C20/30)</f>
        <v>0</v>
      </c>
      <c r="I52" s="78"/>
      <c r="J52" s="78"/>
      <c r="K52" s="77">
        <f>K51/(L20/30)</f>
        <v>49.74165167509463</v>
      </c>
    </row>
    <row r="53" spans="3:20" ht="28" x14ac:dyDescent="0.25">
      <c r="F53" s="73" t="s">
        <v>46</v>
      </c>
      <c r="G53" s="74"/>
      <c r="H53" s="74"/>
      <c r="I53" s="74"/>
      <c r="J53" s="74">
        <f>ABS($K53/$K$52)</f>
        <v>0.12534766719702295</v>
      </c>
      <c r="K53" s="75">
        <f>SUM(K54:K58)</f>
        <v>-6.2350000000000003</v>
      </c>
      <c r="L53" s="76" t="s">
        <v>60</v>
      </c>
    </row>
    <row r="54" spans="3:20" x14ac:dyDescent="0.2">
      <c r="F54" s="11" t="s">
        <v>47</v>
      </c>
      <c r="G54" s="47"/>
      <c r="H54" s="47"/>
      <c r="I54" s="47"/>
      <c r="J54" s="70">
        <f t="shared" ref="J54:J58" si="0">ABS($K54/$K$52)</f>
        <v>1.7892449688107524E-2</v>
      </c>
      <c r="K54" s="58">
        <v>-0.89</v>
      </c>
      <c r="L54" s="69">
        <f>ABS($K54/$K$53)</f>
        <v>0.14274258219727345</v>
      </c>
    </row>
    <row r="55" spans="3:20" x14ac:dyDescent="0.2">
      <c r="F55" s="11" t="s">
        <v>48</v>
      </c>
      <c r="G55" s="47"/>
      <c r="H55" s="47"/>
      <c r="I55" s="47"/>
      <c r="J55" s="70">
        <f t="shared" si="0"/>
        <v>8.9350560240237312E-3</v>
      </c>
      <c r="K55" s="58">
        <f>-N55/(L20/30)</f>
        <v>-0.44444444444444442</v>
      </c>
      <c r="L55" s="69">
        <f t="shared" ref="L55:L58" si="1">ABS($K55/$K$53)</f>
        <v>7.1282188363182744E-2</v>
      </c>
      <c r="M55" s="48" t="s">
        <v>50</v>
      </c>
      <c r="N55" s="82">
        <v>8</v>
      </c>
      <c r="O55" s="21" t="s">
        <v>73</v>
      </c>
    </row>
    <row r="56" spans="3:20" x14ac:dyDescent="0.2">
      <c r="F56" s="11" t="s">
        <v>49</v>
      </c>
      <c r="G56" s="47"/>
      <c r="H56" s="47"/>
      <c r="I56" s="47"/>
      <c r="J56" s="70">
        <f t="shared" si="0"/>
        <v>6.8967463685433175E-2</v>
      </c>
      <c r="K56" s="58">
        <f>-(((N56+(P56*(R56*12)))/IF(T56="Fixa",200*(R56*12*30)/L20,800*(R56*12*30)/L20))/(L20/30))</f>
        <v>-3.4305555555555554</v>
      </c>
      <c r="L56" s="69">
        <f t="shared" si="1"/>
        <v>0.55020939142831682</v>
      </c>
      <c r="M56" s="48" t="s">
        <v>51</v>
      </c>
      <c r="N56" s="50">
        <v>35000</v>
      </c>
      <c r="O56" s="81" t="s">
        <v>52</v>
      </c>
      <c r="P56" s="51">
        <f>100*ROUNDUP(L17/1000,0)</f>
        <v>200</v>
      </c>
      <c r="Q56" s="79" t="s">
        <v>11</v>
      </c>
      <c r="R56" s="49">
        <v>6</v>
      </c>
      <c r="S56" s="79" t="s">
        <v>53</v>
      </c>
      <c r="T56" s="80" t="s">
        <v>54</v>
      </c>
    </row>
    <row r="57" spans="3:20" x14ac:dyDescent="0.2">
      <c r="F57" s="11" t="s">
        <v>55</v>
      </c>
      <c r="G57" s="47"/>
      <c r="H57" s="47"/>
      <c r="I57" s="47"/>
      <c r="J57" s="70">
        <f t="shared" si="0"/>
        <v>8.0415504216213591E-3</v>
      </c>
      <c r="K57" s="58">
        <v>-0.4</v>
      </c>
      <c r="L57" s="69">
        <f t="shared" si="1"/>
        <v>6.4153969526864474E-2</v>
      </c>
      <c r="O57" s="35"/>
    </row>
    <row r="58" spans="3:20" x14ac:dyDescent="0.2">
      <c r="F58" s="59" t="s">
        <v>56</v>
      </c>
      <c r="G58" s="60"/>
      <c r="H58" s="60"/>
      <c r="I58" s="60"/>
      <c r="J58" s="71">
        <f t="shared" si="0"/>
        <v>2.1511147377837138E-2</v>
      </c>
      <c r="K58" s="61">
        <v>-1.07</v>
      </c>
      <c r="L58" s="69">
        <f t="shared" si="1"/>
        <v>0.17161186848436247</v>
      </c>
    </row>
    <row r="63" spans="3:20" ht="19" x14ac:dyDescent="0.25">
      <c r="G63" s="62" t="s">
        <v>57</v>
      </c>
      <c r="H63" s="63">
        <f>H50/(C20/30)</f>
        <v>3.4187156861949326</v>
      </c>
    </row>
    <row r="64" spans="3:20" ht="19" x14ac:dyDescent="0.25">
      <c r="G64" s="62" t="s">
        <v>45</v>
      </c>
      <c r="H64" s="63">
        <f>K52</f>
        <v>49.74165167509463</v>
      </c>
    </row>
    <row r="65" spans="6:8" ht="19" x14ac:dyDescent="0.25">
      <c r="G65" s="62" t="str">
        <f>CONCATENATE("Custo ",F54)</f>
        <v>Custo BovExo</v>
      </c>
      <c r="H65" s="64">
        <f>K54</f>
        <v>-0.89</v>
      </c>
    </row>
    <row r="66" spans="6:8" ht="19" x14ac:dyDescent="0.25">
      <c r="G66" s="62" t="str">
        <f>CONCATENATE("Custo ",F55)</f>
        <v>Custo Brinco</v>
      </c>
      <c r="H66" s="64">
        <f t="shared" ref="H66:H69" si="2">K55</f>
        <v>-0.44444444444444442</v>
      </c>
    </row>
    <row r="67" spans="6:8" ht="19" x14ac:dyDescent="0.25">
      <c r="G67" s="62" t="str">
        <f>CONCATENATE("Custo ",F56)</f>
        <v>Custo Balança de Passagem</v>
      </c>
      <c r="H67" s="64">
        <f t="shared" si="2"/>
        <v>-3.4305555555555554</v>
      </c>
    </row>
    <row r="68" spans="6:8" ht="19" x14ac:dyDescent="0.25">
      <c r="G68" s="62" t="str">
        <f>CONCATENATE("Custo ",F57)</f>
        <v>Custo ERP</v>
      </c>
      <c r="H68" s="64">
        <f t="shared" si="2"/>
        <v>-0.4</v>
      </c>
    </row>
    <row r="69" spans="6:8" ht="19" x14ac:dyDescent="0.25">
      <c r="G69" s="62" t="str">
        <f>CONCATENATE("Custo ",F58)</f>
        <v>Custo Consultor</v>
      </c>
      <c r="H69" s="64">
        <f t="shared" si="2"/>
        <v>-1.07</v>
      </c>
    </row>
    <row r="70" spans="6:8" ht="19" x14ac:dyDescent="0.25">
      <c r="G70" s="62" t="s">
        <v>58</v>
      </c>
      <c r="H70" s="63">
        <f>SUM(H63:H69)</f>
        <v>46.92536736128956</v>
      </c>
    </row>
    <row r="71" spans="6:8" ht="1" customHeight="1" x14ac:dyDescent="0.25">
      <c r="G71" s="62" t="str">
        <f>G72</f>
        <v>A Margem Bruta Adicional que sobra no bolso</v>
      </c>
      <c r="H71" s="64">
        <f>-($H$70-$H$63)</f>
        <v>-43.506651675094631</v>
      </c>
    </row>
    <row r="72" spans="6:8" ht="21" x14ac:dyDescent="0.25">
      <c r="F72" s="66"/>
      <c r="G72" s="67" t="s">
        <v>78</v>
      </c>
      <c r="H72" s="68">
        <f>($H$70-$H$63)</f>
        <v>43.506651675094631</v>
      </c>
    </row>
    <row r="107" spans="2:7" x14ac:dyDescent="0.2">
      <c r="B107" s="42"/>
      <c r="C107" s="42"/>
      <c r="D107" s="42"/>
      <c r="E107" s="42"/>
      <c r="F107" s="42"/>
      <c r="G107" s="42"/>
    </row>
    <row r="111" spans="2:7" x14ac:dyDescent="0.2">
      <c r="B111" s="42"/>
      <c r="C111" s="42"/>
      <c r="D111" s="42"/>
      <c r="E111" s="42"/>
      <c r="F111" s="42"/>
      <c r="G111" s="42"/>
    </row>
    <row r="115" spans="2:7" x14ac:dyDescent="0.2">
      <c r="B115" s="42"/>
      <c r="C115" s="42"/>
      <c r="D115" s="42"/>
      <c r="E115" s="42"/>
      <c r="F115" s="42"/>
      <c r="G115" s="42"/>
    </row>
  </sheetData>
  <mergeCells count="15">
    <mergeCell ref="D5:V9"/>
    <mergeCell ref="D3:V3"/>
    <mergeCell ref="G40:I40"/>
    <mergeCell ref="J40:L40"/>
    <mergeCell ref="G39:K39"/>
    <mergeCell ref="M32:U32"/>
    <mergeCell ref="B12:I12"/>
    <mergeCell ref="C14:I14"/>
    <mergeCell ref="K12:V12"/>
    <mergeCell ref="L14:V14"/>
    <mergeCell ref="D19:I19"/>
    <mergeCell ref="D20:I20"/>
    <mergeCell ref="M23:U23"/>
    <mergeCell ref="E25:H25"/>
    <mergeCell ref="N25:Q25"/>
  </mergeCells>
  <dataValidations count="1">
    <dataValidation type="list" allowBlank="1" showInputMessage="1" showErrorMessage="1" sqref="T56" xr:uid="{30CC53D1-54E6-C14D-B443-BA8C4572B120}">
      <formula1>"Fixa,Móvel"</formula1>
    </dataValidation>
  </dataValidations>
  <hyperlinks>
    <hyperlink ref="X23" r:id="rId1" xr:uid="{0C56A91B-2EDF-4A46-9CF4-5735EE8F2D8B}"/>
    <hyperlink ref="X24" r:id="rId2" xr:uid="{F69A5D2D-1422-6442-BF46-D9394E9AB524}"/>
    <hyperlink ref="X19" r:id="rId3" display="http://abiec.com.br/publicacoes/beef-report-2020/" xr:uid="{83F037AD-9822-4443-B1F5-81BE852C42E9}"/>
    <hyperlink ref="X17" r:id="rId4" xr:uid="{0857981F-9E84-484A-ABED-783AC5F9107E}"/>
  </hyperlinks>
  <pageMargins left="0.7" right="0.7" top="0.75" bottom="0.75" header="0.3" footer="0.3"/>
  <drawing r:id="rId5"/>
  <legacy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711899-D607-CC4B-95A0-6130DFBE0CB5}">
  <dimension ref="B3:X116"/>
  <sheetViews>
    <sheetView topLeftCell="A71" zoomScaleNormal="100" workbookViewId="0">
      <selection activeCell="K54" sqref="K54"/>
    </sheetView>
  </sheetViews>
  <sheetFormatPr baseColWidth="10" defaultRowHeight="16" x14ac:dyDescent="0.2"/>
  <cols>
    <col min="1" max="1" width="10.83203125" style="1"/>
    <col min="2" max="2" width="20.1640625" style="1" customWidth="1"/>
    <col min="3" max="3" width="16.33203125" style="1" customWidth="1"/>
    <col min="4" max="4" width="10.83203125" style="1"/>
    <col min="5" max="5" width="15" style="1" customWidth="1"/>
    <col min="6" max="6" width="20.1640625" style="1" customWidth="1"/>
    <col min="7" max="7" width="11.1640625" style="1" bestFit="1" customWidth="1"/>
    <col min="8" max="8" width="22.1640625" style="1" bestFit="1" customWidth="1"/>
    <col min="9" max="9" width="8.6640625" style="1" customWidth="1"/>
    <col min="10" max="10" width="10.83203125" style="1"/>
    <col min="11" max="11" width="21.5" style="1" customWidth="1"/>
    <col min="12" max="12" width="16" style="1" customWidth="1"/>
    <col min="13" max="13" width="10.83203125" style="1"/>
    <col min="14" max="14" width="16.83203125" style="1" customWidth="1"/>
    <col min="15" max="15" width="20.33203125" style="1" customWidth="1"/>
    <col min="16" max="16" width="17" style="1" customWidth="1"/>
    <col min="17" max="17" width="20.6640625" style="1" customWidth="1"/>
    <col min="18" max="18" width="12.5" style="1" bestFit="1" customWidth="1"/>
    <col min="19" max="20" width="10.83203125" style="1"/>
    <col min="21" max="21" width="18.6640625" style="1" customWidth="1"/>
    <col min="22" max="16384" width="10.83203125" style="1"/>
  </cols>
  <sheetData>
    <row r="3" spans="2:22" ht="29" x14ac:dyDescent="0.35">
      <c r="B3" s="2"/>
      <c r="D3" s="103" t="s">
        <v>0</v>
      </c>
      <c r="E3" s="103"/>
      <c r="F3" s="103"/>
      <c r="G3" s="103"/>
      <c r="H3" s="103"/>
      <c r="I3" s="103"/>
      <c r="J3" s="103"/>
      <c r="K3" s="103"/>
      <c r="L3" s="103"/>
      <c r="M3" s="103"/>
      <c r="N3" s="103"/>
      <c r="O3" s="103"/>
      <c r="P3" s="103"/>
      <c r="Q3" s="103"/>
      <c r="R3" s="103"/>
      <c r="S3" s="103"/>
      <c r="T3" s="103"/>
      <c r="U3" s="103"/>
      <c r="V3" s="103"/>
    </row>
    <row r="4" spans="2:22" x14ac:dyDescent="0.2">
      <c r="B4" s="2"/>
      <c r="D4" s="3"/>
      <c r="E4" s="3"/>
      <c r="F4" s="3"/>
      <c r="G4" s="3"/>
      <c r="H4" s="3"/>
      <c r="I4" s="3"/>
    </row>
    <row r="5" spans="2:22" ht="16" customHeight="1" x14ac:dyDescent="0.2">
      <c r="B5" s="2"/>
      <c r="D5" s="94" t="s">
        <v>1</v>
      </c>
      <c r="E5" s="95"/>
      <c r="F5" s="95"/>
      <c r="G5" s="95"/>
      <c r="H5" s="95"/>
      <c r="I5" s="95"/>
      <c r="J5" s="95"/>
      <c r="K5" s="95"/>
      <c r="L5" s="95"/>
      <c r="M5" s="95"/>
      <c r="N5" s="95"/>
      <c r="O5" s="95"/>
      <c r="P5" s="95"/>
      <c r="Q5" s="95"/>
      <c r="R5" s="95"/>
      <c r="S5" s="95"/>
      <c r="T5" s="95"/>
      <c r="U5" s="95"/>
      <c r="V5" s="96"/>
    </row>
    <row r="6" spans="2:22" x14ac:dyDescent="0.2">
      <c r="B6" s="2"/>
      <c r="D6" s="97"/>
      <c r="E6" s="98"/>
      <c r="F6" s="98"/>
      <c r="G6" s="98"/>
      <c r="H6" s="98"/>
      <c r="I6" s="98"/>
      <c r="J6" s="98"/>
      <c r="K6" s="98"/>
      <c r="L6" s="98"/>
      <c r="M6" s="98"/>
      <c r="N6" s="98"/>
      <c r="O6" s="98"/>
      <c r="P6" s="98"/>
      <c r="Q6" s="98"/>
      <c r="R6" s="98"/>
      <c r="S6" s="98"/>
      <c r="T6" s="98"/>
      <c r="U6" s="98"/>
      <c r="V6" s="99"/>
    </row>
    <row r="7" spans="2:22" x14ac:dyDescent="0.2">
      <c r="B7" s="2"/>
      <c r="D7" s="97"/>
      <c r="E7" s="98"/>
      <c r="F7" s="98"/>
      <c r="G7" s="98"/>
      <c r="H7" s="98"/>
      <c r="I7" s="98"/>
      <c r="J7" s="98"/>
      <c r="K7" s="98"/>
      <c r="L7" s="98"/>
      <c r="M7" s="98"/>
      <c r="N7" s="98"/>
      <c r="O7" s="98"/>
      <c r="P7" s="98"/>
      <c r="Q7" s="98"/>
      <c r="R7" s="98"/>
      <c r="S7" s="98"/>
      <c r="T7" s="98"/>
      <c r="U7" s="98"/>
      <c r="V7" s="99"/>
    </row>
    <row r="8" spans="2:22" x14ac:dyDescent="0.2">
      <c r="B8" s="2"/>
      <c r="D8" s="97"/>
      <c r="E8" s="98"/>
      <c r="F8" s="98"/>
      <c r="G8" s="98"/>
      <c r="H8" s="98"/>
      <c r="I8" s="98"/>
      <c r="J8" s="98"/>
      <c r="K8" s="98"/>
      <c r="L8" s="98"/>
      <c r="M8" s="98"/>
      <c r="N8" s="98"/>
      <c r="O8" s="98"/>
      <c r="P8" s="98"/>
      <c r="Q8" s="98"/>
      <c r="R8" s="98"/>
      <c r="S8" s="98"/>
      <c r="T8" s="98"/>
      <c r="U8" s="98"/>
      <c r="V8" s="99"/>
    </row>
    <row r="9" spans="2:22" x14ac:dyDescent="0.2">
      <c r="B9" s="2"/>
      <c r="D9" s="100"/>
      <c r="E9" s="101"/>
      <c r="F9" s="101"/>
      <c r="G9" s="101"/>
      <c r="H9" s="101"/>
      <c r="I9" s="101"/>
      <c r="J9" s="101"/>
      <c r="K9" s="101"/>
      <c r="L9" s="101"/>
      <c r="M9" s="101"/>
      <c r="N9" s="101"/>
      <c r="O9" s="101"/>
      <c r="P9" s="101"/>
      <c r="Q9" s="101"/>
      <c r="R9" s="101"/>
      <c r="S9" s="101"/>
      <c r="T9" s="101"/>
      <c r="U9" s="101"/>
      <c r="V9" s="102"/>
    </row>
    <row r="12" spans="2:22" x14ac:dyDescent="0.2">
      <c r="B12" s="92" t="s">
        <v>27</v>
      </c>
      <c r="C12" s="92"/>
      <c r="D12" s="92"/>
      <c r="E12" s="92"/>
      <c r="F12" s="92"/>
      <c r="G12" s="92"/>
      <c r="H12" s="92"/>
      <c r="I12" s="92"/>
      <c r="K12" s="92" t="s">
        <v>28</v>
      </c>
      <c r="L12" s="92"/>
      <c r="M12" s="92"/>
      <c r="N12" s="92"/>
      <c r="O12" s="92"/>
      <c r="P12" s="92"/>
      <c r="Q12" s="92"/>
      <c r="R12" s="92"/>
      <c r="S12" s="92"/>
      <c r="T12" s="92"/>
      <c r="U12" s="92"/>
      <c r="V12" s="92"/>
    </row>
    <row r="14" spans="2:22" ht="61" customHeight="1" x14ac:dyDescent="0.2">
      <c r="B14" s="12" t="s">
        <v>2</v>
      </c>
      <c r="C14" s="93" t="s">
        <v>19</v>
      </c>
      <c r="D14" s="93"/>
      <c r="E14" s="93"/>
      <c r="F14" s="93"/>
      <c r="G14" s="93"/>
      <c r="H14" s="93"/>
      <c r="I14" s="93"/>
      <c r="K14" s="12" t="s">
        <v>2</v>
      </c>
      <c r="L14" s="93" t="s">
        <v>26</v>
      </c>
      <c r="M14" s="93"/>
      <c r="N14" s="93"/>
      <c r="O14" s="93"/>
      <c r="P14" s="93"/>
      <c r="Q14" s="93"/>
      <c r="R14" s="93"/>
      <c r="S14" s="93"/>
      <c r="T14" s="93"/>
      <c r="U14" s="93"/>
      <c r="V14" s="93"/>
    </row>
    <row r="17" spans="2:24" x14ac:dyDescent="0.2">
      <c r="B17" s="1" t="s">
        <v>3</v>
      </c>
      <c r="C17" s="5">
        <v>1425</v>
      </c>
      <c r="D17" s="21" t="str">
        <f>CONCATENATE("Qtd med de cabeças abatidas num ano, depois de um ciclo Recria/Engorda de ",C20," dias")</f>
        <v>Qtd med de cabeças abatidas num ano, depois de um ciclo Recria/Engorda de 540 dias</v>
      </c>
      <c r="K17" s="1" t="s">
        <v>3</v>
      </c>
      <c r="L17" s="5">
        <v>1800</v>
      </c>
      <c r="M17" s="21" t="s">
        <v>75</v>
      </c>
      <c r="W17" s="20" t="s">
        <v>15</v>
      </c>
      <c r="X17" s="28" t="s">
        <v>21</v>
      </c>
    </row>
    <row r="18" spans="2:24" x14ac:dyDescent="0.2">
      <c r="B18" s="1" t="s">
        <v>4</v>
      </c>
      <c r="C18" s="6">
        <v>225</v>
      </c>
      <c r="K18" s="1" t="s">
        <v>4</v>
      </c>
      <c r="L18" s="40">
        <f>C18</f>
        <v>225</v>
      </c>
      <c r="W18" s="20" t="s">
        <v>15</v>
      </c>
      <c r="X18" s="21"/>
    </row>
    <row r="19" spans="2:24" ht="30" customHeight="1" x14ac:dyDescent="0.2">
      <c r="B19" s="1" t="s">
        <v>7</v>
      </c>
      <c r="C19" s="31">
        <v>0.41</v>
      </c>
      <c r="D19" s="87" t="s">
        <v>74</v>
      </c>
      <c r="E19" s="87"/>
      <c r="F19" s="87"/>
      <c r="G19" s="87"/>
      <c r="H19" s="87"/>
      <c r="I19" s="87"/>
      <c r="K19" s="1" t="s">
        <v>7</v>
      </c>
      <c r="L19" s="31">
        <v>0.72</v>
      </c>
      <c r="M19" s="21" t="s">
        <v>69</v>
      </c>
      <c r="W19" s="20" t="s">
        <v>15</v>
      </c>
      <c r="X19" s="28" t="s">
        <v>76</v>
      </c>
    </row>
    <row r="20" spans="2:24" ht="31" customHeight="1" x14ac:dyDescent="0.2">
      <c r="B20" s="1" t="s">
        <v>6</v>
      </c>
      <c r="C20" s="7">
        <v>540</v>
      </c>
      <c r="D20" s="87" t="s">
        <v>64</v>
      </c>
      <c r="E20" s="87"/>
      <c r="F20" s="87"/>
      <c r="G20" s="87"/>
      <c r="H20" s="87"/>
      <c r="I20" s="87"/>
      <c r="K20" s="1" t="s">
        <v>6</v>
      </c>
      <c r="L20" s="30">
        <f>(L21-L18)/L19</f>
        <v>307.5</v>
      </c>
      <c r="W20" s="20" t="s">
        <v>15</v>
      </c>
      <c r="X20" s="22" t="s">
        <v>20</v>
      </c>
    </row>
    <row r="21" spans="2:24" x14ac:dyDescent="0.2">
      <c r="B21" s="3" t="s">
        <v>5</v>
      </c>
      <c r="C21" s="32">
        <f>C18+C19*C20</f>
        <v>446.4</v>
      </c>
      <c r="K21" s="3" t="s">
        <v>5</v>
      </c>
      <c r="L21" s="32">
        <f>C21</f>
        <v>446.4</v>
      </c>
      <c r="W21" s="21"/>
      <c r="X21" s="21"/>
    </row>
    <row r="22" spans="2:24" ht="15" customHeight="1" x14ac:dyDescent="0.2">
      <c r="C22" s="29"/>
      <c r="L22" s="29"/>
      <c r="W22" s="21"/>
      <c r="X22" s="21"/>
    </row>
    <row r="23" spans="2:24" s="8" customFormat="1" ht="15" customHeight="1" x14ac:dyDescent="0.2">
      <c r="B23" s="8" t="s">
        <v>8</v>
      </c>
      <c r="C23" s="13">
        <v>2.5000000000000001E-2</v>
      </c>
      <c r="E23" s="8" t="s">
        <v>10</v>
      </c>
      <c r="F23" s="17" t="s">
        <v>65</v>
      </c>
      <c r="G23" s="17" t="s">
        <v>11</v>
      </c>
      <c r="H23" s="17" t="s">
        <v>12</v>
      </c>
      <c r="K23" s="8" t="s">
        <v>8</v>
      </c>
      <c r="L23" s="13">
        <v>2.3E-2</v>
      </c>
      <c r="M23" s="87" t="s">
        <v>66</v>
      </c>
      <c r="N23" s="87"/>
      <c r="O23" s="87"/>
      <c r="P23" s="87"/>
      <c r="Q23" s="87"/>
      <c r="R23" s="87"/>
      <c r="S23" s="87"/>
      <c r="T23" s="87"/>
      <c r="U23" s="87"/>
      <c r="W23" s="20" t="s">
        <v>15</v>
      </c>
      <c r="X23" s="28" t="s">
        <v>13</v>
      </c>
    </row>
    <row r="24" spans="2:24" ht="17" x14ac:dyDescent="0.2">
      <c r="B24" s="1" t="s">
        <v>9</v>
      </c>
      <c r="C24" s="9">
        <f>(E24+(F24*G24))/(G24*H24)</f>
        <v>9.7411294839636661E-2</v>
      </c>
      <c r="E24" s="14">
        <v>500</v>
      </c>
      <c r="F24" s="33">
        <v>300</v>
      </c>
      <c r="G24" s="15">
        <v>5</v>
      </c>
      <c r="H24" s="16">
        <v>4106.3</v>
      </c>
      <c r="K24" s="1" t="s">
        <v>9</v>
      </c>
      <c r="L24" s="9">
        <f>(O24+(Q24*S24))/(S24*U24)</f>
        <v>0.11690209449585971</v>
      </c>
      <c r="N24" s="8" t="s">
        <v>10</v>
      </c>
      <c r="O24" s="14">
        <v>1900</v>
      </c>
      <c r="P24" s="17" t="s">
        <v>65</v>
      </c>
      <c r="Q24" s="33">
        <v>1250</v>
      </c>
      <c r="R24" s="17" t="s">
        <v>11</v>
      </c>
      <c r="S24" s="15">
        <v>10</v>
      </c>
      <c r="T24" s="17" t="s">
        <v>12</v>
      </c>
      <c r="U24" s="16">
        <v>12318</v>
      </c>
      <c r="W24" s="20" t="s">
        <v>15</v>
      </c>
      <c r="X24" s="28" t="s">
        <v>14</v>
      </c>
    </row>
    <row r="25" spans="2:24" ht="31" customHeight="1" x14ac:dyDescent="0.2">
      <c r="C25" s="85">
        <f>AVERAGE(C18,C21)*C23*C24*C20</f>
        <v>441.46311764849133</v>
      </c>
      <c r="E25" s="88" t="s">
        <v>25</v>
      </c>
      <c r="F25" s="88"/>
      <c r="G25" s="88"/>
      <c r="H25" s="88"/>
      <c r="L25" s="85">
        <f>AVERAGE(L18,L21)*L23*L24*L20</f>
        <v>277.55342425718459</v>
      </c>
      <c r="N25" s="88" t="s">
        <v>29</v>
      </c>
      <c r="O25" s="88"/>
      <c r="P25" s="88"/>
      <c r="Q25" s="88"/>
      <c r="R25" s="20"/>
    </row>
    <row r="26" spans="2:24" x14ac:dyDescent="0.2">
      <c r="C26" s="24"/>
      <c r="E26" s="25"/>
      <c r="F26" s="25"/>
      <c r="G26" s="26"/>
      <c r="H26" s="27"/>
      <c r="I26" s="20"/>
    </row>
    <row r="27" spans="2:24" x14ac:dyDescent="0.2">
      <c r="E27" s="4" t="s">
        <v>17</v>
      </c>
      <c r="F27" s="4" t="s">
        <v>18</v>
      </c>
      <c r="G27" s="1" t="s">
        <v>22</v>
      </c>
      <c r="H27" s="4"/>
      <c r="I27" s="10"/>
      <c r="N27" s="4" t="s">
        <v>17</v>
      </c>
      <c r="O27" s="4" t="s">
        <v>18</v>
      </c>
      <c r="P27" s="1" t="s">
        <v>22</v>
      </c>
    </row>
    <row r="28" spans="2:24" x14ac:dyDescent="0.2">
      <c r="B28" s="1" t="s">
        <v>16</v>
      </c>
      <c r="C28" s="37">
        <f>E28*F28*G28</f>
        <v>0</v>
      </c>
      <c r="E28" s="34">
        <v>0</v>
      </c>
      <c r="F28" s="18">
        <v>0</v>
      </c>
      <c r="G28" s="19">
        <v>0</v>
      </c>
      <c r="K28" s="1" t="s">
        <v>16</v>
      </c>
      <c r="L28" s="37">
        <f>N28*O28*P28</f>
        <v>471.50000000000006</v>
      </c>
      <c r="N28" s="34">
        <f>115/30</f>
        <v>3.8333333333333335</v>
      </c>
      <c r="O28" s="18">
        <v>0.4</v>
      </c>
      <c r="P28" s="84">
        <f>L20</f>
        <v>307.5</v>
      </c>
      <c r="Q28" s="21" t="s">
        <v>70</v>
      </c>
      <c r="W28" s="20" t="s">
        <v>15</v>
      </c>
      <c r="X28" s="28" t="s">
        <v>77</v>
      </c>
    </row>
    <row r="30" spans="2:24" x14ac:dyDescent="0.2">
      <c r="B30" s="1" t="s">
        <v>24</v>
      </c>
      <c r="C30" s="83">
        <v>0.5</v>
      </c>
      <c r="D30" s="21" t="s">
        <v>68</v>
      </c>
      <c r="K30" s="1" t="s">
        <v>24</v>
      </c>
      <c r="L30" s="83">
        <v>0.52</v>
      </c>
      <c r="M30" s="21" t="s">
        <v>67</v>
      </c>
    </row>
    <row r="32" spans="2:24" ht="30" customHeight="1" x14ac:dyDescent="0.2">
      <c r="B32" s="1" t="s">
        <v>23</v>
      </c>
      <c r="C32" s="23">
        <v>290</v>
      </c>
      <c r="K32" s="1" t="s">
        <v>23</v>
      </c>
      <c r="L32" s="23">
        <f>C32*1.01</f>
        <v>292.89999999999998</v>
      </c>
      <c r="M32" s="87" t="s">
        <v>61</v>
      </c>
      <c r="N32" s="87"/>
      <c r="O32" s="87"/>
      <c r="P32" s="87"/>
      <c r="Q32" s="87"/>
      <c r="R32" s="87"/>
      <c r="S32" s="87"/>
      <c r="T32" s="87"/>
      <c r="U32" s="87"/>
    </row>
    <row r="33" spans="2:21" x14ac:dyDescent="0.2">
      <c r="M33" s="21"/>
      <c r="N33" s="10"/>
      <c r="O33" s="10"/>
      <c r="P33" s="10"/>
      <c r="Q33" s="10"/>
      <c r="R33" s="10"/>
      <c r="S33" s="10"/>
      <c r="T33" s="10"/>
      <c r="U33" s="10"/>
    </row>
    <row r="34" spans="2:21" x14ac:dyDescent="0.2">
      <c r="B34" s="1" t="s">
        <v>39</v>
      </c>
      <c r="C34" s="38">
        <v>26.82</v>
      </c>
      <c r="D34" s="21" t="s">
        <v>63</v>
      </c>
      <c r="K34" s="1" t="s">
        <v>39</v>
      </c>
      <c r="L34" s="38">
        <v>25.85</v>
      </c>
      <c r="M34" s="21" t="s">
        <v>62</v>
      </c>
    </row>
    <row r="35" spans="2:21" x14ac:dyDescent="0.2">
      <c r="B35" s="1" t="s">
        <v>40</v>
      </c>
      <c r="C35" s="38">
        <v>44.51</v>
      </c>
      <c r="D35" s="21" t="s">
        <v>63</v>
      </c>
      <c r="K35" s="1" t="s">
        <v>40</v>
      </c>
      <c r="L35" s="38">
        <v>47.59</v>
      </c>
      <c r="M35" s="21" t="s">
        <v>62</v>
      </c>
    </row>
    <row r="36" spans="2:21" x14ac:dyDescent="0.2">
      <c r="B36" s="1" t="s">
        <v>41</v>
      </c>
      <c r="C36" s="38">
        <v>1.57</v>
      </c>
      <c r="D36" s="21" t="s">
        <v>63</v>
      </c>
      <c r="K36" s="1" t="s">
        <v>41</v>
      </c>
      <c r="L36" s="38">
        <v>1.64</v>
      </c>
      <c r="M36" s="21" t="s">
        <v>62</v>
      </c>
    </row>
    <row r="37" spans="2:21" x14ac:dyDescent="0.2">
      <c r="B37" s="1" t="s">
        <v>43</v>
      </c>
      <c r="C37" s="36">
        <v>2500</v>
      </c>
      <c r="K37" s="1" t="s">
        <v>43</v>
      </c>
      <c r="L37" s="37">
        <f>C37</f>
        <v>2500</v>
      </c>
    </row>
    <row r="39" spans="2:21" ht="50" customHeight="1" x14ac:dyDescent="0.2">
      <c r="F39" s="42"/>
      <c r="G39" s="91" t="s">
        <v>59</v>
      </c>
      <c r="H39" s="91"/>
      <c r="I39" s="91"/>
      <c r="J39" s="91"/>
      <c r="K39" s="91"/>
    </row>
    <row r="40" spans="2:21" x14ac:dyDescent="0.2">
      <c r="G40" s="89" t="s">
        <v>30</v>
      </c>
      <c r="H40" s="89"/>
      <c r="I40" s="89"/>
      <c r="J40" s="90" t="s">
        <v>31</v>
      </c>
      <c r="K40" s="90"/>
      <c r="L40" s="90"/>
    </row>
    <row r="41" spans="2:21" x14ac:dyDescent="0.2">
      <c r="E41" s="11" t="s">
        <v>71</v>
      </c>
      <c r="F41" s="42" t="s">
        <v>32</v>
      </c>
      <c r="G41" s="42"/>
      <c r="H41" s="41">
        <f>C17*C21/15*C30*C32</f>
        <v>6149160</v>
      </c>
      <c r="I41" s="42"/>
      <c r="J41" s="42"/>
      <c r="K41" s="41">
        <f>L17*L21/15*L30*L32</f>
        <v>8158834.9439999992</v>
      </c>
    </row>
    <row r="42" spans="2:21" x14ac:dyDescent="0.2">
      <c r="E42" s="11" t="s">
        <v>71</v>
      </c>
      <c r="F42" s="43" t="s">
        <v>33</v>
      </c>
      <c r="G42" s="43"/>
      <c r="H42" s="44">
        <f>H43+H46+H47+H48</f>
        <v>-6061469.9426491</v>
      </c>
      <c r="I42" s="43"/>
      <c r="J42" s="43"/>
      <c r="K42" s="44">
        <f>K43+K46+K47+K48</f>
        <v>-7233522.1636629328</v>
      </c>
    </row>
    <row r="43" spans="2:21" x14ac:dyDescent="0.2">
      <c r="E43" s="11"/>
      <c r="F43" s="45" t="s">
        <v>34</v>
      </c>
      <c r="G43" s="12"/>
      <c r="H43" s="46">
        <f>SUM(H44:H45)</f>
        <v>-629084.94264910021</v>
      </c>
      <c r="I43" s="12"/>
      <c r="J43" s="12"/>
      <c r="K43" s="46">
        <f>SUM(K44:K45)</f>
        <v>-1348296.1636629323</v>
      </c>
    </row>
    <row r="44" spans="2:21" x14ac:dyDescent="0.2">
      <c r="C44" s="72"/>
      <c r="E44" s="11"/>
      <c r="G44" s="11" t="s">
        <v>35</v>
      </c>
      <c r="H44" s="35">
        <f>-AVERAGE(C18,C21)*C23*C20*C24*C17</f>
        <v>-629084.94264910021</v>
      </c>
      <c r="K44" s="35">
        <f>-AVERAGE(L18,L21)*L23*L24*L20*L17</f>
        <v>-499596.16366293223</v>
      </c>
    </row>
    <row r="45" spans="2:21" x14ac:dyDescent="0.2">
      <c r="C45" s="72"/>
      <c r="E45" s="11"/>
      <c r="G45" s="11" t="s">
        <v>36</v>
      </c>
      <c r="H45" s="35">
        <f>-C28*C17</f>
        <v>0</v>
      </c>
      <c r="K45" s="35">
        <f>-L28*L17</f>
        <v>-848700.00000000012</v>
      </c>
    </row>
    <row r="46" spans="2:21" x14ac:dyDescent="0.2">
      <c r="C46" s="72"/>
      <c r="E46" s="11"/>
      <c r="F46" s="11" t="s">
        <v>37</v>
      </c>
      <c r="H46" s="35">
        <f>-SUM(C34:C35)*C17*(C20/30)</f>
        <v>-1829614.5</v>
      </c>
      <c r="K46" s="35">
        <f>-SUM(L34:L35)*L17*(L20/30)</f>
        <v>-1354968</v>
      </c>
    </row>
    <row r="47" spans="2:21" x14ac:dyDescent="0.2">
      <c r="C47" s="72"/>
      <c r="E47" s="11"/>
      <c r="F47" s="11" t="s">
        <v>38</v>
      </c>
      <c r="H47" s="35">
        <f>-C36*C17*(C20/30)</f>
        <v>-40270.5</v>
      </c>
      <c r="K47" s="35">
        <f>-L36*L17*(L20/30)</f>
        <v>-30258</v>
      </c>
    </row>
    <row r="48" spans="2:21" x14ac:dyDescent="0.2">
      <c r="C48" s="72"/>
      <c r="E48" s="39"/>
      <c r="F48" s="39" t="s">
        <v>42</v>
      </c>
      <c r="G48" s="26"/>
      <c r="H48" s="35">
        <f>-C17*C37</f>
        <v>-3562500</v>
      </c>
      <c r="K48" s="35">
        <f>-L17*L37</f>
        <v>-4500000</v>
      </c>
    </row>
    <row r="49" spans="3:20" x14ac:dyDescent="0.2">
      <c r="C49" s="72"/>
      <c r="E49" s="86" t="s">
        <v>72</v>
      </c>
      <c r="F49" s="52" t="s">
        <v>44</v>
      </c>
      <c r="G49" s="53"/>
      <c r="H49" s="44">
        <f>H41+H42</f>
        <v>87690.057350900024</v>
      </c>
      <c r="I49" s="43"/>
      <c r="J49" s="43"/>
      <c r="K49" s="44">
        <f>K41+K42</f>
        <v>925312.78033706639</v>
      </c>
    </row>
    <row r="50" spans="3:20" x14ac:dyDescent="0.2">
      <c r="C50" s="24"/>
      <c r="E50" s="25"/>
      <c r="F50" s="54"/>
      <c r="G50" s="55"/>
      <c r="H50" s="56">
        <f>H49/C17</f>
        <v>61.536882351508787</v>
      </c>
      <c r="I50" s="57"/>
      <c r="J50" s="57"/>
      <c r="K50" s="56">
        <f>K49/L17</f>
        <v>514.06265574281463</v>
      </c>
    </row>
    <row r="51" spans="3:20" x14ac:dyDescent="0.2">
      <c r="F51" s="1" t="s">
        <v>45</v>
      </c>
      <c r="G51" s="4"/>
      <c r="H51" s="37">
        <f>IF(H$49&gt;K$49,H$49-K$49)/$C$17</f>
        <v>0</v>
      </c>
      <c r="K51" s="37">
        <f>IF(K$49&gt;H$49,(K$49-H$49),0)/$L$17</f>
        <v>465.3459572145369</v>
      </c>
    </row>
    <row r="52" spans="3:20" ht="32" customHeight="1" x14ac:dyDescent="0.2">
      <c r="F52" s="104" t="s">
        <v>79</v>
      </c>
      <c r="G52" s="104"/>
      <c r="H52" s="37">
        <f>IF(H$49&gt;K$49,H$49-K$49)/$C$17*(C20/L20)</f>
        <v>0</v>
      </c>
      <c r="K52" s="37">
        <f>IF(K$49&gt;H$49,(K$49-H$49),0)/$L$17*(C$20/L$20)</f>
        <v>817.19290047430866</v>
      </c>
    </row>
    <row r="53" spans="3:20" ht="19" x14ac:dyDescent="0.25">
      <c r="G53" s="65"/>
      <c r="H53" s="77">
        <f>H51/(C20/30)</f>
        <v>0</v>
      </c>
      <c r="I53" s="78"/>
      <c r="J53" s="78"/>
      <c r="K53" s="77">
        <f>K52/(L20/30)</f>
        <v>79.726136631639875</v>
      </c>
    </row>
    <row r="54" spans="3:20" ht="28" x14ac:dyDescent="0.25">
      <c r="F54" s="73" t="s">
        <v>46</v>
      </c>
      <c r="G54" s="74"/>
      <c r="H54" s="74"/>
      <c r="I54" s="74"/>
      <c r="J54" s="74">
        <f>ABS($K54/$K$53)</f>
        <v>8.2420190392442014E-2</v>
      </c>
      <c r="K54" s="75">
        <f>SUM(K55:K59)</f>
        <v>-6.5710433604336043</v>
      </c>
      <c r="L54" s="76" t="s">
        <v>60</v>
      </c>
    </row>
    <row r="55" spans="3:20" x14ac:dyDescent="0.2">
      <c r="F55" s="11" t="s">
        <v>47</v>
      </c>
      <c r="G55" s="47"/>
      <c r="H55" s="47"/>
      <c r="I55" s="47"/>
      <c r="J55" s="70">
        <f t="shared" ref="J55:J59" si="0">ABS($K55/$K$53)</f>
        <v>1.1163214945584072E-2</v>
      </c>
      <c r="K55" s="58">
        <v>-0.89</v>
      </c>
      <c r="L55" s="69">
        <f>ABS($K55/$K$54)</f>
        <v>0.13544272213435393</v>
      </c>
    </row>
    <row r="56" spans="3:20" x14ac:dyDescent="0.2">
      <c r="F56" s="11" t="s">
        <v>48</v>
      </c>
      <c r="G56" s="47"/>
      <c r="H56" s="47"/>
      <c r="I56" s="47"/>
      <c r="J56" s="70">
        <f t="shared" si="0"/>
        <v>9.7896102564727413E-3</v>
      </c>
      <c r="K56" s="58">
        <f>-N56/(L20/30)</f>
        <v>-0.78048780487804881</v>
      </c>
      <c r="L56" s="69">
        <f t="shared" ref="L56:L59" si="1">ABS($K56/$K$54)</f>
        <v>0.11877684593859485</v>
      </c>
      <c r="M56" s="48" t="s">
        <v>50</v>
      </c>
      <c r="N56" s="82">
        <v>8</v>
      </c>
      <c r="O56" s="21" t="s">
        <v>73</v>
      </c>
    </row>
    <row r="57" spans="3:20" x14ac:dyDescent="0.2">
      <c r="F57" s="11" t="s">
        <v>49</v>
      </c>
      <c r="G57" s="47"/>
      <c r="H57" s="47"/>
      <c r="I57" s="47"/>
      <c r="J57" s="70">
        <f t="shared" si="0"/>
        <v>4.3029246122959823E-2</v>
      </c>
      <c r="K57" s="58">
        <f>-(((N57+(P57*(R57*12)))/IF(T57="Fixa",200*(R57*12*30)/L20,800*(R57*12*30)/L20))/(L20/30))</f>
        <v>-3.4305555555555554</v>
      </c>
      <c r="L57" s="69">
        <f t="shared" si="1"/>
        <v>0.52207166615457901</v>
      </c>
      <c r="M57" s="48" t="s">
        <v>51</v>
      </c>
      <c r="N57" s="50">
        <v>35000</v>
      </c>
      <c r="O57" s="81" t="s">
        <v>52</v>
      </c>
      <c r="P57" s="51">
        <f>100*ROUNDUP(L17/1000,0)</f>
        <v>200</v>
      </c>
      <c r="Q57" s="79" t="s">
        <v>11</v>
      </c>
      <c r="R57" s="49">
        <v>6</v>
      </c>
      <c r="S57" s="79" t="s">
        <v>53</v>
      </c>
      <c r="T57" s="80" t="s">
        <v>54</v>
      </c>
    </row>
    <row r="58" spans="3:20" x14ac:dyDescent="0.2">
      <c r="F58" s="11" t="s">
        <v>55</v>
      </c>
      <c r="G58" s="47"/>
      <c r="H58" s="47"/>
      <c r="I58" s="47"/>
      <c r="J58" s="70">
        <f t="shared" si="0"/>
        <v>5.0171752564422793E-3</v>
      </c>
      <c r="K58" s="58">
        <v>-0.4</v>
      </c>
      <c r="L58" s="69">
        <f t="shared" si="1"/>
        <v>6.0873133543529863E-2</v>
      </c>
      <c r="O58" s="35"/>
    </row>
    <row r="59" spans="3:20" x14ac:dyDescent="0.2">
      <c r="F59" s="59" t="s">
        <v>56</v>
      </c>
      <c r="G59" s="60"/>
      <c r="H59" s="60"/>
      <c r="I59" s="60"/>
      <c r="J59" s="71">
        <f t="shared" si="0"/>
        <v>1.3420943810983098E-2</v>
      </c>
      <c r="K59" s="61">
        <v>-1.07</v>
      </c>
      <c r="L59" s="69">
        <f t="shared" si="1"/>
        <v>0.16283563222894237</v>
      </c>
    </row>
    <row r="64" spans="3:20" ht="19" x14ac:dyDescent="0.25">
      <c r="G64" s="62" t="s">
        <v>57</v>
      </c>
      <c r="H64" s="63">
        <f>H50/(C20/30)</f>
        <v>3.4187156861949326</v>
      </c>
    </row>
    <row r="65" spans="6:8" ht="19" x14ac:dyDescent="0.25">
      <c r="G65" s="62" t="s">
        <v>45</v>
      </c>
      <c r="H65" s="63">
        <f>K53</f>
        <v>79.726136631639875</v>
      </c>
    </row>
    <row r="66" spans="6:8" ht="19" x14ac:dyDescent="0.25">
      <c r="G66" s="62" t="str">
        <f>CONCATENATE("Custo ",F55)</f>
        <v>Custo BovExo</v>
      </c>
      <c r="H66" s="64">
        <f>K55</f>
        <v>-0.89</v>
      </c>
    </row>
    <row r="67" spans="6:8" ht="19" x14ac:dyDescent="0.25">
      <c r="G67" s="62" t="str">
        <f>CONCATENATE("Custo ",F56)</f>
        <v>Custo Brinco</v>
      </c>
      <c r="H67" s="64">
        <f t="shared" ref="H67:H70" si="2">K56</f>
        <v>-0.78048780487804881</v>
      </c>
    </row>
    <row r="68" spans="6:8" ht="19" x14ac:dyDescent="0.25">
      <c r="G68" s="62" t="str">
        <f>CONCATENATE("Custo ",F57)</f>
        <v>Custo Balança de Passagem</v>
      </c>
      <c r="H68" s="64">
        <f t="shared" si="2"/>
        <v>-3.4305555555555554</v>
      </c>
    </row>
    <row r="69" spans="6:8" ht="19" x14ac:dyDescent="0.25">
      <c r="G69" s="62" t="str">
        <f>CONCATENATE("Custo ",F58)</f>
        <v>Custo ERP</v>
      </c>
      <c r="H69" s="64">
        <f t="shared" si="2"/>
        <v>-0.4</v>
      </c>
    </row>
    <row r="70" spans="6:8" ht="19" x14ac:dyDescent="0.25">
      <c r="G70" s="62" t="str">
        <f>CONCATENATE("Custo ",F59)</f>
        <v>Custo Consultor</v>
      </c>
      <c r="H70" s="64">
        <f t="shared" si="2"/>
        <v>-1.07</v>
      </c>
    </row>
    <row r="71" spans="6:8" ht="19" x14ac:dyDescent="0.25">
      <c r="G71" s="62" t="s">
        <v>58</v>
      </c>
      <c r="H71" s="63">
        <f>SUM(H64:H70)</f>
        <v>76.573808957401198</v>
      </c>
    </row>
    <row r="72" spans="6:8" ht="1" customHeight="1" x14ac:dyDescent="0.25">
      <c r="G72" s="62" t="str">
        <f>G73</f>
        <v>A Margem Bruta Adicional que sobra no bolso</v>
      </c>
      <c r="H72" s="64">
        <f>-($H$71-$H$64)</f>
        <v>-73.155093271206269</v>
      </c>
    </row>
    <row r="73" spans="6:8" ht="21" x14ac:dyDescent="0.25">
      <c r="F73" s="66"/>
      <c r="G73" s="67" t="s">
        <v>78</v>
      </c>
      <c r="H73" s="68">
        <f>($H$71-$H$64)</f>
        <v>73.155093271206269</v>
      </c>
    </row>
    <row r="108" spans="2:7" x14ac:dyDescent="0.2">
      <c r="B108" s="42"/>
      <c r="C108" s="42"/>
      <c r="D108" s="42"/>
      <c r="E108" s="42"/>
      <c r="F108" s="42"/>
      <c r="G108" s="42"/>
    </row>
    <row r="112" spans="2:7" x14ac:dyDescent="0.2">
      <c r="B112" s="42"/>
      <c r="C112" s="42"/>
      <c r="D112" s="42"/>
      <c r="E112" s="42"/>
      <c r="F112" s="42"/>
      <c r="G112" s="42"/>
    </row>
    <row r="116" spans="2:7" x14ac:dyDescent="0.2">
      <c r="B116" s="42"/>
      <c r="C116" s="42"/>
      <c r="D116" s="42"/>
      <c r="E116" s="42"/>
      <c r="F116" s="42"/>
      <c r="G116" s="42"/>
    </row>
  </sheetData>
  <mergeCells count="16">
    <mergeCell ref="G39:K39"/>
    <mergeCell ref="G40:I40"/>
    <mergeCell ref="J40:L40"/>
    <mergeCell ref="F52:G52"/>
    <mergeCell ref="D19:I19"/>
    <mergeCell ref="D20:I20"/>
    <mergeCell ref="M23:U23"/>
    <mergeCell ref="E25:H25"/>
    <mergeCell ref="N25:Q25"/>
    <mergeCell ref="M32:U32"/>
    <mergeCell ref="D3:V3"/>
    <mergeCell ref="D5:V9"/>
    <mergeCell ref="B12:I12"/>
    <mergeCell ref="K12:V12"/>
    <mergeCell ref="C14:I14"/>
    <mergeCell ref="L14:V14"/>
  </mergeCells>
  <dataValidations count="1">
    <dataValidation type="list" allowBlank="1" showInputMessage="1" showErrorMessage="1" sqref="T57" xr:uid="{D08249E7-5E99-D94F-8850-E9451FB22B53}">
      <formula1>"Fixa,Móvel"</formula1>
    </dataValidation>
  </dataValidations>
  <hyperlinks>
    <hyperlink ref="X23" r:id="rId1" xr:uid="{D2D6E406-4BAB-2942-961E-CF283FDE8971}"/>
    <hyperlink ref="X24" r:id="rId2" xr:uid="{1E607E32-A9D1-5247-9333-93811696650B}"/>
    <hyperlink ref="X19" r:id="rId3" display="http://abiec.com.br/publicacoes/beef-report-2020/" xr:uid="{4001114C-A23C-0049-BFCF-B672F732A8CA}"/>
    <hyperlink ref="X17" r:id="rId4" xr:uid="{A6C16846-CE51-D143-8633-315284D4DB21}"/>
  </hyperlinks>
  <pageMargins left="0.7" right="0.7" top="0.75" bottom="0.75" header="0.3" footer="0.3"/>
  <drawing r:id="rId5"/>
  <legacyDrawing r:id="rId6"/>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Por GMD x Tempo</vt:lpstr>
      <vt:lpstr>Peso Saída Igual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Jorge Pinto Gomes</dc:creator>
  <cp:lastModifiedBy>Carlos Jorge Pinto Gomes</cp:lastModifiedBy>
  <dcterms:created xsi:type="dcterms:W3CDTF">2021-07-20T18:22:30Z</dcterms:created>
  <dcterms:modified xsi:type="dcterms:W3CDTF">2021-07-22T11:42:55Z</dcterms:modified>
</cp:coreProperties>
</file>