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gomes/BovExo/Marketing &amp; Comercial/Value Engineering/"/>
    </mc:Choice>
  </mc:AlternateContent>
  <xr:revisionPtr revIDLastSave="0" documentId="13_ncr:1_{BDB600F5-9408-CA46-B9E6-E5C6B88B07E9}" xr6:coauthVersionLast="46" xr6:coauthVersionMax="46" xr10:uidLastSave="{00000000-0000-0000-0000-000000000000}"/>
  <bookViews>
    <workbookView xWindow="780" yWindow="960" windowWidth="27640" windowHeight="15520" xr2:uid="{B85BF486-0369-D245-AECC-205562ECF710}"/>
  </bookViews>
  <sheets>
    <sheet name="Como a Tecnologia se Paga 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C48" i="1"/>
  <c r="E47" i="1"/>
  <c r="D47" i="1"/>
  <c r="C47" i="1"/>
  <c r="C44" i="1"/>
  <c r="C45" i="1" s="1"/>
  <c r="D43" i="1"/>
  <c r="E42" i="1"/>
  <c r="C26" i="1"/>
  <c r="H24" i="1"/>
  <c r="K23" i="1"/>
  <c r="J23" i="1"/>
  <c r="I21" i="1"/>
  <c r="E21" i="1"/>
  <c r="E48" i="1" s="1"/>
  <c r="D48" i="1" s="1"/>
  <c r="L20" i="1"/>
  <c r="I20" i="1" s="1"/>
  <c r="L19" i="1"/>
  <c r="I19" i="1" s="1"/>
  <c r="E16" i="1"/>
  <c r="H14" i="1"/>
  <c r="E14" i="1"/>
  <c r="H16" i="1" l="1"/>
  <c r="H17" i="1" s="1"/>
  <c r="I17" i="1" s="1"/>
  <c r="C17" i="1" s="1"/>
  <c r="C18" i="1" s="1"/>
  <c r="E18" i="1" l="1"/>
  <c r="C23" i="1"/>
  <c r="C19" i="1"/>
  <c r="C24" i="1" s="1"/>
  <c r="C46" i="1"/>
  <c r="C49" i="1" s="1"/>
  <c r="C25" i="1" l="1"/>
  <c r="C27" i="1" s="1"/>
  <c r="E15" i="1"/>
  <c r="E23" i="1"/>
  <c r="E19" i="1"/>
  <c r="E24" i="1" s="1"/>
  <c r="C29" i="1" l="1"/>
  <c r="C50" i="1" s="1"/>
  <c r="C28" i="1"/>
  <c r="E25" i="1"/>
  <c r="E26" i="1"/>
  <c r="E44" i="1"/>
  <c r="E35" i="1"/>
  <c r="I24" i="1"/>
  <c r="I23" i="1" s="1"/>
  <c r="E36" i="1" s="1"/>
  <c r="F36" i="1" l="1"/>
  <c r="D44" i="1"/>
  <c r="E45" i="1"/>
  <c r="E27" i="1"/>
  <c r="E29" i="1" s="1"/>
  <c r="E33" i="1"/>
  <c r="E30" i="1" l="1"/>
  <c r="E31" i="1" s="1"/>
  <c r="E32" i="1" s="1"/>
  <c r="E28" i="1"/>
  <c r="E54" i="1"/>
  <c r="E50" i="1"/>
  <c r="E46" i="1"/>
  <c r="D45" i="1"/>
  <c r="F33" i="1" l="1"/>
  <c r="F56" i="1"/>
  <c r="F55" i="1"/>
  <c r="E49" i="1"/>
  <c r="D46" i="1"/>
  <c r="C34" i="1"/>
  <c r="C37" i="1"/>
  <c r="C36" i="1"/>
  <c r="C35" i="1"/>
  <c r="D49" i="1" l="1"/>
  <c r="E51" i="1"/>
  <c r="E55" i="1" s="1"/>
  <c r="E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tc={03E14763-A774-274E-900E-EEABD0ABE452}</author>
    <author>tc={CA901BBF-30AB-F747-BE0F-40F1AC625B15}</author>
    <author>tc={215EF037-888B-0B4A-AA14-0D12A0C30871}</author>
    <author>tc={AAF5A0DE-637B-BA4B-B5F6-796F07DAAFED}</author>
    <author>tc={BEC0F111-DF89-0C46-B7C9-F75A358DC214}</author>
    <author>tc={F780FB17-AA44-124F-AF91-DE40A3766B3E}</author>
  </authors>
  <commentList>
    <comment ref="B15" authorId="0" shapeId="0" xr:uid="{03E14763-A774-274E-900E-EEABD0ABE45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Quanto tempo, em média, um animal fica na fazenda (recria+engorda).
</t>
      </text>
    </comment>
    <comment ref="E17" authorId="1" shapeId="0" xr:uid="{CA901BBF-30AB-F747-BE0F-40F1AC625B15}">
      <text>
        <t>[Threaded comment]
Your version of Excel allows you to read this threaded comment; however, any edits to it will get removed if the file is opened in a newer version of Excel. Learn more: https://go.microsoft.com/fwlink/?linkid=870924
Comment:
    GDP esperado pela dieta em pasto adubado + suplemento</t>
      </text>
    </comment>
    <comment ref="B18" authorId="2" shapeId="0" xr:uid="{215EF037-888B-0B4A-AA14-0D12A0C30871}">
      <text>
        <t>[Threaded comment]
Your version of Excel allows you to read this threaded comment; however, any edits to it will get removed if the file is opened in a newer version of Excel. Learn more: https://go.microsoft.com/fwlink/?linkid=870924
Comment:
    o peso vivo médio de abate, na safra 2018-2019, no Brasil, foi de 508 kg (254.4 kg carcaça a 50% aproveitamento).</t>
      </text>
    </comment>
    <comment ref="E19" authorId="3" shapeId="0" xr:uid="{AAF5A0DE-637B-BA4B-B5F6-796F07DAAFED}">
      <text>
        <t>[Threaded comment]
Your version of Excel allows you to read this threaded comment; however, any edits to it will get removed if the file is opened in a newer version of Excel. Learn more: https://go.microsoft.com/fwlink/?linkid=870924
Comment:
    450g de um suplemento + 2.5%PV em pasto adubado</t>
      </text>
    </comment>
    <comment ref="E20" authorId="4" shapeId="0" xr:uid="{BEC0F111-DF89-0C46-B7C9-F75A358DC214}">
      <text>
        <t>[Threaded comment]
Your version of Excel allows you to read this threaded comment; however, any edits to it will get removed if the file is opened in a newer version of Excel. Learn more: https://go.microsoft.com/fwlink/?linkid=870924
Comment:
    Aprov% esperado por uma dieta melhor</t>
      </text>
    </comment>
    <comment ref="E21" authorId="5" shapeId="0" xr:uid="{F780FB17-AA44-124F-AF91-DE40A3766B3E}">
      <text>
        <t>[Threaded comment]
Your version of Excel allows you to read this threaded comment; however, any edits to it will get removed if the file is opened in a newer version of Excel. Learn more: https://go.microsoft.com/fwlink/?linkid=870924
Comment:
    Melhor preço por usar curvas de preço futuro da @</t>
      </text>
    </comment>
  </commentList>
</comments>
</file>

<file path=xl/sharedStrings.xml><?xml version="1.0" encoding="utf-8"?>
<sst xmlns="http://schemas.openxmlformats.org/spreadsheetml/2006/main" count="74" uniqueCount="72">
  <si>
    <t>Análise de Custo/Retorno por adoção de Tecnologias</t>
  </si>
  <si>
    <t xml:space="preserve">Comparação do Retorno </t>
  </si>
  <si>
    <t>Dados e Parâmetros</t>
  </si>
  <si>
    <t>Com pouca Tecnologia</t>
  </si>
  <si>
    <t>Com BovExo e outras Tecnologias</t>
  </si>
  <si>
    <t>Duração</t>
  </si>
  <si>
    <t>GMD a Pasto</t>
  </si>
  <si>
    <t>Quantidade Animais</t>
  </si>
  <si>
    <t>Águas</t>
  </si>
  <si>
    <t>Ciclo Médio</t>
  </si>
  <si>
    <t>Transição</t>
  </si>
  <si>
    <t>Peso med entrada</t>
  </si>
  <si>
    <t>Seca</t>
  </si>
  <si>
    <t>GMD médio</t>
  </si>
  <si>
    <t>Peso med saída</t>
  </si>
  <si>
    <t>Custo Final</t>
  </si>
  <si>
    <t>Formacao</t>
  </si>
  <si>
    <t>Vida util</t>
  </si>
  <si>
    <t>Prod (kg MS/ha/ano)</t>
  </si>
  <si>
    <t>Custo da Dieta</t>
  </si>
  <si>
    <t>Custo Capim Med Nac</t>
  </si>
  <si>
    <t>Aprov Carcaça</t>
  </si>
  <si>
    <t>Custo Capim Intensivo</t>
  </si>
  <si>
    <t>Preço Venda @</t>
  </si>
  <si>
    <t>Custo Suplemento</t>
  </si>
  <si>
    <t>Consumo Suplemento</t>
  </si>
  <si>
    <t>Custo Brinco/Animal</t>
  </si>
  <si>
    <t>Custo Fixo</t>
  </si>
  <si>
    <t>Receita</t>
  </si>
  <si>
    <t>Balança de Passagem</t>
  </si>
  <si>
    <t>Vida útil</t>
  </si>
  <si>
    <t>Custo Var (Dieta)</t>
  </si>
  <si>
    <t>(1 balança para cada 200 animais)</t>
  </si>
  <si>
    <t>Contrib. Bruta</t>
  </si>
  <si>
    <t>Custos Fixos + Var</t>
  </si>
  <si>
    <t>Contrib. Liquida</t>
  </si>
  <si>
    <t>Contrib Liq Equiv 12 meses</t>
  </si>
  <si>
    <t>Contrib. Liquida / cab</t>
  </si>
  <si>
    <t>Contrib Liq  Increm.</t>
  </si>
  <si>
    <t>Contrib Liq Increm/ Cab / mês</t>
  </si>
  <si>
    <t>% max da contrib liq a investir</t>
  </si>
  <si>
    <t>para remunerar outras tecnologias necessárias não incluïdas no cálculo acima (ex., BovExo, brinco, balança, etc.) (o investimento em pasto + suplemento já está incluído acima)</t>
  </si>
  <si>
    <t>Custo Real Total das tecnologias adicionais</t>
  </si>
  <si>
    <t>BovExo</t>
  </si>
  <si>
    <t>Brinco</t>
  </si>
  <si>
    <t>assumindo pior cenário (= não reutilização do brinco)</t>
  </si>
  <si>
    <t>Sem Tecnologia</t>
  </si>
  <si>
    <t>% Melhora</t>
  </si>
  <si>
    <t>Com Tecnologia</t>
  </si>
  <si>
    <t>Área Pasto</t>
  </si>
  <si>
    <t>Rebanho</t>
  </si>
  <si>
    <t>a suplementação da dieta permite um aumento de lotação</t>
  </si>
  <si>
    <t>Ciclo</t>
  </si>
  <si>
    <t>o maior ganho de peso acelera o ciclo</t>
  </si>
  <si>
    <t>Vendas anuais (cab)</t>
  </si>
  <si>
    <t>Vendas anuais (@)</t>
  </si>
  <si>
    <t>a suplementação e um melhor aproveitamento da MS (redução de pressão) aumentam o aproveitamento de carcaça</t>
  </si>
  <si>
    <t>Valor Negoc @</t>
  </si>
  <si>
    <t>o uso de curvas de preços futuros + algoritmos de optimização BovExo capturam uma melhor janela de venda</t>
  </si>
  <si>
    <t>Receita total</t>
  </si>
  <si>
    <t>Contrib Liq Excl Custo Reposiçao</t>
  </si>
  <si>
    <t>Receita Adic.</t>
  </si>
  <si>
    <t>Investimento BovExo</t>
  </si>
  <si>
    <t>Investimento Outras Tecnol</t>
  </si>
  <si>
    <t>Total Invest Tecnologia</t>
  </si>
  <si>
    <t>Breakeven em</t>
  </si>
  <si>
    <t>% da Receita Increm</t>
  </si>
  <si>
    <t>% da Receita Total</t>
  </si>
  <si>
    <t>células em cinza claro contém fórmulas e só devem ser alteradas para análise de cenários</t>
  </si>
  <si>
    <t>Esta planilha visa simular o o ganho incremental, em margem, pelo uso das tecnologias e o ponto de equilíbrio. As células em branco podem ser alteradas pelo usuário. As células com borda roxa são o principal resultado a ser analisado. Este modelo não visa exaurir todos os detalhes, sendo apenas uma simulação inicial. Caso deseje explorar e desenvolver um estudo mais detalhado, contacte a BovExo (marketing@bovexo.com).</t>
  </si>
  <si>
    <t>ERP</t>
  </si>
  <si>
    <t>Consultor Gerencial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</si>
</sst>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&quot;dias&quot;"/>
    <numFmt numFmtId="166" formatCode="#,##0.00\ &quot;kg/dia&quot;"/>
    <numFmt numFmtId="167" formatCode="#,##0.0\ &quot;meses&quot;"/>
    <numFmt numFmtId="168" formatCode="#,##0.0\ &quot;kg&quot;"/>
    <numFmt numFmtId="169" formatCode="#,##0.00\ &quot;kg&quot;"/>
    <numFmt numFmtId="170" formatCode="\R&quot;$&quot;\ * #,##0.00\ &quot;/dia&quot;;[Red]\(&quot;$&quot;#,##0.00\)\ &quot;/dia&quot;"/>
    <numFmt numFmtId="171" formatCode="\R&quot;$&quot;* #,##0.000\ &quot;/kg MS&quot;;_(\R&quot;$&quot;* \(#,##0.000\)\ &quot;/kg MS&quot;"/>
    <numFmt numFmtId="172" formatCode="\R&quot;$&quot;\ * #,##0.00\ &quot;/ha&quot;;[Red]\(&quot;$&quot;#,##0.00\)\ &quot;/ha&quot;"/>
    <numFmt numFmtId="173" formatCode="0\ &quot;anos&quot;"/>
    <numFmt numFmtId="174" formatCode="\R&quot;$&quot;\ * #,##0&quot; /@&quot;\ ;[Red]\(\R&quot;$&quot;\ * #,##0\)&quot; /@&quot;\ "/>
    <numFmt numFmtId="175" formatCode="\R&quot;$&quot;* #,##0.000\ &quot;/kg&quot;;_(\R&quot;$&quot;* \(#,##0.000\)\ &quot;/kg&quot;"/>
    <numFmt numFmtId="176" formatCode="#,##0.00\ &quot;kg/cab/dia&quot;"/>
    <numFmt numFmtId="177" formatCode="\R&quot;$&quot;\ * #,##0.0&quot; /cab&quot;\ ;[Red]\(\R&quot;$&quot;\ * #,##0.0\)&quot; /cab&quot;\ "/>
    <numFmt numFmtId="178" formatCode="\R&quot;$&quot;\ * #,##0.0&quot;/cab/mês&quot;\ ;[Red]\(\R&quot;$&quot;\ * #,##0.0\)&quot; /cab/ano&quot;\ "/>
    <numFmt numFmtId="179" formatCode="\R&quot;$&quot;\ * #,##0.00\ &quot;/mês/cab&quot;;[Red]\(&quot;$&quot;#,##0.00\)\ &quot;/mês/cab&quot;"/>
    <numFmt numFmtId="180" formatCode="\R&quot;$&quot;\ * #,##0.00\ ;[Red]\(\R&quot;$&quot;\ * #,##0.00\)\ "/>
    <numFmt numFmtId="181" formatCode="#,##0\ &quot;anos&quot;"/>
    <numFmt numFmtId="182" formatCode="\R&quot;$&quot;\ * #,##0.00\ &quot;/cab&quot;;[Red]\(&quot;$&quot;#,##0.00\)\ &quot;/cab&quot;"/>
    <numFmt numFmtId="183" formatCode="0.0%"/>
    <numFmt numFmtId="184" formatCode="#,##0\ &quot;ha&quot;"/>
    <numFmt numFmtId="185" formatCode="#,##0\ &quot;cab&quot;"/>
    <numFmt numFmtId="187" formatCode="#,##0\ &quot;@&quot;"/>
    <numFmt numFmtId="188" formatCode="_(&quot;$&quot;* #,##0_);_(&quot;$&quot;* \(#,##0\);_(&quot;$&quot;* &quot;-&quot;??_);_(@_)"/>
    <numFmt numFmtId="189" formatCode="0.0\ &quot;meses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dotted">
        <color auto="1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3" xfId="0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8" xfId="0" applyFont="1" applyFill="1" applyBorder="1" applyAlignment="1">
      <alignment horizontal="center"/>
    </xf>
    <xf numFmtId="164" fontId="0" fillId="3" borderId="0" xfId="1" applyNumberFormat="1" applyFont="1" applyFill="1"/>
    <xf numFmtId="165" fontId="4" fillId="3" borderId="8" xfId="0" applyNumberFormat="1" applyFont="1" applyFill="1" applyBorder="1"/>
    <xf numFmtId="166" fontId="4" fillId="2" borderId="8" xfId="0" applyNumberFormat="1" applyFont="1" applyFill="1" applyBorder="1" applyProtection="1">
      <protection locked="0"/>
    </xf>
    <xf numFmtId="165" fontId="0" fillId="2" borderId="0" xfId="0" applyNumberFormat="1" applyFill="1" applyProtection="1">
      <protection locked="0"/>
    </xf>
    <xf numFmtId="167" fontId="0" fillId="3" borderId="0" xfId="0" applyNumberFormat="1" applyFill="1"/>
    <xf numFmtId="165" fontId="0" fillId="3" borderId="0" xfId="0" applyNumberFormat="1" applyFill="1"/>
    <xf numFmtId="168" fontId="0" fillId="2" borderId="0" xfId="0" applyNumberFormat="1" applyFill="1" applyProtection="1">
      <protection locked="0"/>
    </xf>
    <xf numFmtId="168" fontId="0" fillId="3" borderId="0" xfId="0" applyNumberFormat="1" applyFill="1"/>
    <xf numFmtId="169" fontId="0" fillId="3" borderId="0" xfId="0" applyNumberFormat="1" applyFill="1"/>
    <xf numFmtId="169" fontId="0" fillId="2" borderId="0" xfId="0" applyNumberFormat="1" applyFill="1" applyProtection="1">
      <protection locked="0"/>
    </xf>
    <xf numFmtId="0" fontId="4" fillId="3" borderId="0" xfId="0" applyFont="1" applyFill="1"/>
    <xf numFmtId="166" fontId="4" fillId="3" borderId="8" xfId="0" applyNumberFormat="1" applyFont="1" applyFill="1" applyBorder="1"/>
    <xf numFmtId="170" fontId="0" fillId="3" borderId="0" xfId="2" applyNumberFormat="1" applyFont="1" applyFill="1"/>
    <xf numFmtId="0" fontId="4" fillId="3" borderId="8" xfId="0" applyFont="1" applyFill="1" applyBorder="1" applyAlignment="1">
      <alignment horizontal="right"/>
    </xf>
    <xf numFmtId="171" fontId="4" fillId="3" borderId="8" xfId="0" applyNumberFormat="1" applyFont="1" applyFill="1" applyBorder="1"/>
    <xf numFmtId="172" fontId="4" fillId="3" borderId="8" xfId="0" applyNumberFormat="1" applyFont="1" applyFill="1" applyBorder="1"/>
    <xf numFmtId="173" fontId="4" fillId="3" borderId="8" xfId="0" applyNumberFormat="1" applyFont="1" applyFill="1" applyBorder="1"/>
    <xf numFmtId="168" fontId="4" fillId="3" borderId="8" xfId="0" applyNumberFormat="1" applyFont="1" applyFill="1" applyBorder="1"/>
    <xf numFmtId="9" fontId="0" fillId="2" borderId="0" xfId="0" applyNumberFormat="1" applyFill="1" applyProtection="1">
      <protection locked="0"/>
    </xf>
    <xf numFmtId="174" fontId="0" fillId="2" borderId="0" xfId="2" applyNumberFormat="1" applyFont="1" applyFill="1" applyProtection="1">
      <protection locked="0"/>
    </xf>
    <xf numFmtId="174" fontId="0" fillId="3" borderId="0" xfId="0" applyNumberFormat="1" applyFill="1"/>
    <xf numFmtId="174" fontId="0" fillId="3" borderId="0" xfId="2" applyNumberFormat="1" applyFont="1" applyFill="1"/>
    <xf numFmtId="175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Protection="1">
      <protection locked="0"/>
    </xf>
    <xf numFmtId="177" fontId="4" fillId="2" borderId="8" xfId="0" applyNumberFormat="1" applyFont="1" applyFill="1" applyBorder="1" applyProtection="1">
      <protection locked="0"/>
    </xf>
    <xf numFmtId="178" fontId="4" fillId="2" borderId="8" xfId="0" applyNumberFormat="1" applyFont="1" applyFill="1" applyBorder="1" applyProtection="1">
      <protection locked="0"/>
    </xf>
    <xf numFmtId="44" fontId="0" fillId="3" borderId="0" xfId="0" applyNumberFormat="1" applyFill="1"/>
    <xf numFmtId="179" fontId="4" fillId="3" borderId="8" xfId="0" applyNumberFormat="1" applyFont="1" applyFill="1" applyBorder="1"/>
    <xf numFmtId="0" fontId="4" fillId="3" borderId="8" xfId="0" applyFont="1" applyFill="1" applyBorder="1" applyAlignment="1">
      <alignment horizontal="right" wrapText="1"/>
    </xf>
    <xf numFmtId="44" fontId="4" fillId="3" borderId="8" xfId="2" applyFont="1" applyFill="1" applyBorder="1"/>
    <xf numFmtId="0" fontId="0" fillId="3" borderId="9" xfId="0" applyFill="1" applyBorder="1"/>
    <xf numFmtId="180" fontId="0" fillId="3" borderId="0" xfId="0" applyNumberFormat="1" applyFill="1"/>
    <xf numFmtId="0" fontId="4" fillId="3" borderId="10" xfId="0" applyFont="1" applyFill="1" applyBorder="1"/>
    <xf numFmtId="0" fontId="4" fillId="3" borderId="11" xfId="0" applyFont="1" applyFill="1" applyBorder="1" applyAlignment="1">
      <alignment horizontal="right"/>
    </xf>
    <xf numFmtId="164" fontId="4" fillId="3" borderId="11" xfId="1" applyNumberFormat="1" applyFont="1" applyFill="1" applyBorder="1"/>
    <xf numFmtId="0" fontId="4" fillId="3" borderId="11" xfId="0" applyFont="1" applyFill="1" applyBorder="1"/>
    <xf numFmtId="0" fontId="0" fillId="3" borderId="11" xfId="0" applyFill="1" applyBorder="1"/>
    <xf numFmtId="181" fontId="4" fillId="3" borderId="11" xfId="0" applyNumberFormat="1" applyFont="1" applyFill="1" applyBorder="1"/>
    <xf numFmtId="0" fontId="4" fillId="3" borderId="12" xfId="0" applyFont="1" applyFill="1" applyBorder="1"/>
    <xf numFmtId="44" fontId="0" fillId="3" borderId="3" xfId="0" applyNumberFormat="1" applyFill="1" applyBorder="1"/>
    <xf numFmtId="44" fontId="0" fillId="3" borderId="1" xfId="0" applyNumberFormat="1" applyFill="1" applyBorder="1"/>
    <xf numFmtId="0" fontId="2" fillId="4" borderId="13" xfId="0" applyFont="1" applyFill="1" applyBorder="1"/>
    <xf numFmtId="182" fontId="2" fillId="4" borderId="13" xfId="0" applyNumberFormat="1" applyFont="1" applyFill="1" applyBorder="1"/>
    <xf numFmtId="0" fontId="2" fillId="4" borderId="14" xfId="0" applyFont="1" applyFill="1" applyBorder="1"/>
    <xf numFmtId="179" fontId="2" fillId="4" borderId="14" xfId="0" applyNumberFormat="1" applyFont="1" applyFill="1" applyBorder="1"/>
    <xf numFmtId="9" fontId="0" fillId="2" borderId="0" xfId="3" applyFont="1" applyFill="1" applyProtection="1">
      <protection locked="0"/>
    </xf>
    <xf numFmtId="179" fontId="0" fillId="3" borderId="0" xfId="0" applyNumberFormat="1" applyFill="1"/>
    <xf numFmtId="0" fontId="0" fillId="5" borderId="15" xfId="0" applyFill="1" applyBorder="1"/>
    <xf numFmtId="179" fontId="0" fillId="5" borderId="15" xfId="0" applyNumberFormat="1" applyFill="1" applyBorder="1"/>
    <xf numFmtId="0" fontId="5" fillId="3" borderId="0" xfId="0" applyFont="1" applyFill="1"/>
    <xf numFmtId="0" fontId="0" fillId="3" borderId="0" xfId="0" applyFill="1" applyAlignment="1">
      <alignment horizontal="right"/>
    </xf>
    <xf numFmtId="183" fontId="0" fillId="3" borderId="0" xfId="3" applyNumberFormat="1" applyFont="1" applyFill="1"/>
    <xf numFmtId="0" fontId="0" fillId="3" borderId="16" xfId="0" applyFill="1" applyBorder="1" applyAlignment="1">
      <alignment horizontal="right"/>
    </xf>
    <xf numFmtId="0" fontId="0" fillId="3" borderId="16" xfId="0" applyFill="1" applyBorder="1"/>
    <xf numFmtId="179" fontId="0" fillId="3" borderId="16" xfId="0" applyNumberFormat="1" applyFill="1" applyBorder="1"/>
    <xf numFmtId="0" fontId="0" fillId="3" borderId="8" xfId="0" applyFill="1" applyBorder="1"/>
    <xf numFmtId="0" fontId="0" fillId="3" borderId="17" xfId="0" applyFill="1" applyBorder="1"/>
    <xf numFmtId="184" fontId="0" fillId="2" borderId="8" xfId="0" applyNumberFormat="1" applyFill="1" applyBorder="1" applyProtection="1">
      <protection locked="0"/>
    </xf>
    <xf numFmtId="184" fontId="0" fillId="3" borderId="17" xfId="0" applyNumberFormat="1" applyFill="1" applyBorder="1"/>
    <xf numFmtId="185" fontId="0" fillId="2" borderId="8" xfId="1" applyNumberFormat="1" applyFont="1" applyFill="1" applyBorder="1" applyProtection="1">
      <protection locked="0"/>
    </xf>
    <xf numFmtId="9" fontId="0" fillId="3" borderId="8" xfId="3" applyFont="1" applyFill="1" applyBorder="1"/>
    <xf numFmtId="185" fontId="0" fillId="2" borderId="17" xfId="1" applyNumberFormat="1" applyFont="1" applyFill="1" applyBorder="1" applyProtection="1">
      <protection locked="0"/>
    </xf>
    <xf numFmtId="185" fontId="0" fillId="6" borderId="8" xfId="1" applyNumberFormat="1" applyFont="1" applyFill="1" applyBorder="1" applyProtection="1">
      <protection locked="0"/>
    </xf>
    <xf numFmtId="187" fontId="0" fillId="6" borderId="8" xfId="1" applyNumberFormat="1" applyFont="1" applyFill="1" applyBorder="1" applyProtection="1">
      <protection locked="0"/>
    </xf>
    <xf numFmtId="183" fontId="0" fillId="6" borderId="8" xfId="0" applyNumberFormat="1" applyFill="1" applyBorder="1" applyProtection="1">
      <protection locked="0"/>
    </xf>
    <xf numFmtId="174" fontId="0" fillId="6" borderId="18" xfId="2" applyNumberFormat="1" applyFont="1" applyFill="1" applyBorder="1" applyProtection="1">
      <protection locked="0"/>
    </xf>
    <xf numFmtId="174" fontId="0" fillId="6" borderId="19" xfId="2" applyNumberFormat="1" applyFont="1" applyFill="1" applyBorder="1" applyProtection="1">
      <protection locked="0"/>
    </xf>
    <xf numFmtId="188" fontId="0" fillId="3" borderId="8" xfId="2" applyNumberFormat="1" applyFont="1" applyFill="1" applyBorder="1"/>
    <xf numFmtId="44" fontId="0" fillId="3" borderId="8" xfId="2" applyFont="1" applyFill="1" applyBorder="1"/>
    <xf numFmtId="9" fontId="0" fillId="3" borderId="8" xfId="3" applyFon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183" fontId="0" fillId="3" borderId="8" xfId="3" applyNumberFormat="1" applyFont="1" applyFill="1" applyBorder="1"/>
    <xf numFmtId="0" fontId="0" fillId="6" borderId="0" xfId="0" applyFill="1"/>
    <xf numFmtId="0" fontId="0" fillId="3" borderId="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189" fontId="0" fillId="6" borderId="8" xfId="1" applyNumberFormat="1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624590</xdr:colOff>
      <xdr:row>1</xdr:row>
      <xdr:rowOff>43929</xdr:rowOff>
    </xdr:from>
    <xdr:to>
      <xdr:col>1</xdr:col>
      <xdr:colOff>1530245</xdr:colOff>
      <xdr:row>7</xdr:row>
      <xdr:rowOff>158570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30DEB7-1935-884C-8AF7-770CDE488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90" y="247129"/>
          <a:ext cx="905655" cy="1460841"/>
        </a:xfrm>
        <a:prstGeom prst="rect">
          <a:avLst/>
        </a:prstGeom>
      </xdr:spPr>
    </xdr:pic>
    <xdr:clientData/>
  </xdr:twoCellAnchor>
  <xdr:twoCellAnchor editAs="oneCell">
    <xdr:from>
      <xdr:col>1</xdr:col>
      <xdr:colOff>624590</xdr:colOff>
      <xdr:row>1</xdr:row>
      <xdr:rowOff>43929</xdr:rowOff>
    </xdr:from>
    <xdr:to>
      <xdr:col>1</xdr:col>
      <xdr:colOff>1530245</xdr:colOff>
      <xdr:row>7</xdr:row>
      <xdr:rowOff>158570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EB3F86-F4AF-8147-8B5F-A80D35A3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90" y="247129"/>
          <a:ext cx="905655" cy="14608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Jorge Pinto Gomes" id="{9D5AB1A7-824E-F44E-85F9-154888785BF9}" userId="8ae49218caf52ef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0-09-03T18:58:39.99" personId="{9D5AB1A7-824E-F44E-85F9-154888785BF9}" id="{03E14763-A774-274E-900E-EEABD0ABE452}">
    <text xml:space="preserve">Quanto tempo, em média, um animal fica na fazenda (recria+engorda).
</text>
  </threadedComment>
  <threadedComment ref="E17" dT="2021-04-12T13:28:38.92" personId="{9D5AB1A7-824E-F44E-85F9-154888785BF9}" id="{CA901BBF-30AB-F747-BE0F-40F1AC625B15}">
    <text>GDP esperado pela dieta em pasto adubado + suplemento</text>
  </threadedComment>
  <threadedComment ref="B18" dT="2020-09-03T19:09:24.93" personId="{9D5AB1A7-824E-F44E-85F9-154888785BF9}" id="{215EF037-888B-0B4A-AA14-0D12A0C30871}">
    <text>o peso vivo médio de abate, na safra 2018-2019, no Brasil, foi de 508 kg (254.4 kg carcaça a 50% aproveitamento).</text>
  </threadedComment>
  <threadedComment ref="E19" dT="2020-09-22T21:51:03.79" personId="{9D5AB1A7-824E-F44E-85F9-154888785BF9}" id="{AAF5A0DE-637B-BA4B-B5F6-796F07DAAFED}">
    <text>450g de um suplemento + 2.5%PV em pasto adubado</text>
  </threadedComment>
  <threadedComment ref="E20" dT="2021-04-12T13:28:51.82" personId="{9D5AB1A7-824E-F44E-85F9-154888785BF9}" id="{BEC0F111-DF89-0C46-B7C9-F75A358DC214}">
    <text>Aprov% esperado por uma dieta melhor</text>
  </threadedComment>
  <threadedComment ref="E21" dT="2021-04-12T13:29:05.94" personId="{9D5AB1A7-824E-F44E-85F9-154888785BF9}" id="{F780FB17-AA44-124F-AF91-DE40A3766B3E}">
    <text>Melhor preço por usar curvas de preço futuro da @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BC7B-053B-6443-9D18-5CA686554CCD}">
  <dimension ref="B2:M58"/>
  <sheetViews>
    <sheetView tabSelected="1" workbookViewId="0">
      <selection activeCell="J20" sqref="J20"/>
    </sheetView>
  </sheetViews>
  <sheetFormatPr baseColWidth="10" defaultRowHeight="16" x14ac:dyDescent="0.2"/>
  <cols>
    <col min="1" max="1" width="5.6640625" style="2" customWidth="1"/>
    <col min="2" max="2" width="27.6640625" style="2" customWidth="1"/>
    <col min="3" max="3" width="15.5" style="2" customWidth="1"/>
    <col min="4" max="4" width="7" style="2" customWidth="1"/>
    <col min="5" max="5" width="17" style="2" customWidth="1"/>
    <col min="6" max="6" width="9.83203125" style="2" customWidth="1"/>
    <col min="7" max="7" width="12.5" style="2" customWidth="1"/>
    <col min="8" max="8" width="10.83203125" style="2"/>
    <col min="9" max="9" width="13.6640625" style="2" customWidth="1"/>
    <col min="10" max="10" width="16.83203125" style="2" customWidth="1"/>
    <col min="11" max="11" width="13.1640625" style="2" customWidth="1"/>
    <col min="12" max="12" width="18.1640625" style="2" customWidth="1"/>
    <col min="13" max="13" width="16.1640625" style="2" customWidth="1"/>
    <col min="14" max="16384" width="10.83203125" style="2"/>
  </cols>
  <sheetData>
    <row r="2" spans="2:13" ht="26" x14ac:dyDescent="0.3">
      <c r="B2" s="1"/>
      <c r="D2" s="3" t="s">
        <v>0</v>
      </c>
      <c r="E2" s="3"/>
      <c r="F2" s="3"/>
      <c r="G2" s="3"/>
      <c r="H2" s="3"/>
      <c r="I2" s="3"/>
      <c r="J2" s="3"/>
      <c r="K2" s="3"/>
    </row>
    <row r="3" spans="2:13" x14ac:dyDescent="0.2">
      <c r="B3" s="1"/>
    </row>
    <row r="4" spans="2:13" ht="16" customHeight="1" x14ac:dyDescent="0.2">
      <c r="B4" s="1"/>
      <c r="D4" s="92" t="s">
        <v>69</v>
      </c>
      <c r="E4" s="93"/>
      <c r="F4" s="93"/>
      <c r="G4" s="93"/>
      <c r="H4" s="93"/>
      <c r="I4" s="93"/>
      <c r="J4" s="93"/>
      <c r="K4" s="93"/>
      <c r="L4" s="93"/>
      <c r="M4" s="94"/>
    </row>
    <row r="5" spans="2:13" x14ac:dyDescent="0.2">
      <c r="B5" s="1"/>
      <c r="D5" s="95"/>
      <c r="E5" s="91"/>
      <c r="F5" s="91"/>
      <c r="G5" s="91"/>
      <c r="H5" s="91"/>
      <c r="I5" s="91"/>
      <c r="J5" s="91"/>
      <c r="K5" s="91"/>
      <c r="L5" s="91"/>
      <c r="M5" s="96"/>
    </row>
    <row r="6" spans="2:13" x14ac:dyDescent="0.2">
      <c r="B6" s="1"/>
      <c r="D6" s="95"/>
      <c r="E6" s="91"/>
      <c r="F6" s="91"/>
      <c r="G6" s="91"/>
      <c r="H6" s="91"/>
      <c r="I6" s="91"/>
      <c r="J6" s="91"/>
      <c r="K6" s="91"/>
      <c r="L6" s="91"/>
      <c r="M6" s="96"/>
    </row>
    <row r="7" spans="2:13" x14ac:dyDescent="0.2">
      <c r="B7" s="1"/>
      <c r="D7" s="95"/>
      <c r="E7" s="91"/>
      <c r="F7" s="91"/>
      <c r="G7" s="91"/>
      <c r="H7" s="91"/>
      <c r="I7" s="91"/>
      <c r="J7" s="91"/>
      <c r="K7" s="91"/>
      <c r="L7" s="91"/>
      <c r="M7" s="96"/>
    </row>
    <row r="8" spans="2:13" x14ac:dyDescent="0.2">
      <c r="B8" s="1"/>
      <c r="D8" s="97"/>
      <c r="E8" s="98"/>
      <c r="F8" s="98"/>
      <c r="G8" s="98"/>
      <c r="H8" s="98"/>
      <c r="I8" s="98"/>
      <c r="J8" s="98"/>
      <c r="K8" s="98"/>
      <c r="L8" s="98"/>
      <c r="M8" s="99"/>
    </row>
    <row r="9" spans="2:13" x14ac:dyDescent="0.2">
      <c r="B9" s="1"/>
      <c r="D9" s="4"/>
      <c r="E9" s="4"/>
      <c r="F9" s="4"/>
      <c r="G9" s="4"/>
      <c r="H9" s="4"/>
      <c r="I9" s="4"/>
      <c r="J9" s="4"/>
    </row>
    <row r="10" spans="2:13" ht="17" thickBot="1" x14ac:dyDescent="0.25"/>
    <row r="11" spans="2:13" x14ac:dyDescent="0.2">
      <c r="B11" s="5" t="s">
        <v>1</v>
      </c>
      <c r="C11" s="5"/>
      <c r="D11" s="5"/>
      <c r="E11" s="5"/>
      <c r="G11" s="6" t="s">
        <v>2</v>
      </c>
      <c r="H11" s="7"/>
      <c r="I11" s="7"/>
      <c r="J11" s="7"/>
      <c r="K11" s="7"/>
      <c r="L11" s="7"/>
      <c r="M11" s="8"/>
    </row>
    <row r="12" spans="2:13" x14ac:dyDescent="0.2">
      <c r="B12" s="9"/>
      <c r="C12" s="10" t="s">
        <v>3</v>
      </c>
      <c r="D12" s="10"/>
      <c r="E12" s="10" t="s">
        <v>4</v>
      </c>
      <c r="G12" s="11"/>
      <c r="H12" s="12"/>
      <c r="I12" s="12"/>
      <c r="J12" s="12"/>
      <c r="K12" s="12"/>
      <c r="L12" s="12"/>
      <c r="M12" s="13"/>
    </row>
    <row r="13" spans="2:13" x14ac:dyDescent="0.2">
      <c r="G13" s="11"/>
      <c r="H13" s="14" t="s">
        <v>5</v>
      </c>
      <c r="I13" s="14" t="s">
        <v>6</v>
      </c>
      <c r="J13" s="12"/>
      <c r="K13" s="12"/>
      <c r="L13" s="12"/>
      <c r="M13" s="13"/>
    </row>
    <row r="14" spans="2:13" x14ac:dyDescent="0.2">
      <c r="B14" s="2" t="s">
        <v>7</v>
      </c>
      <c r="C14" s="15">
        <v>1</v>
      </c>
      <c r="E14" s="15">
        <f>C14</f>
        <v>1</v>
      </c>
      <c r="G14" s="11" t="s">
        <v>8</v>
      </c>
      <c r="H14" s="16">
        <f>(C15-H15)/2</f>
        <v>210</v>
      </c>
      <c r="I14" s="17">
        <v>0.15</v>
      </c>
      <c r="J14" s="12"/>
      <c r="K14" s="12"/>
      <c r="L14" s="12"/>
      <c r="M14" s="13"/>
    </row>
    <row r="15" spans="2:13" x14ac:dyDescent="0.2">
      <c r="B15" s="2" t="s">
        <v>9</v>
      </c>
      <c r="C15" s="18">
        <v>540</v>
      </c>
      <c r="D15" s="19"/>
      <c r="E15" s="20">
        <f>(E18-E16)/E17</f>
        <v>259.76047904191614</v>
      </c>
      <c r="G15" s="11" t="s">
        <v>10</v>
      </c>
      <c r="H15" s="16">
        <v>120</v>
      </c>
      <c r="I15" s="17">
        <v>0.32</v>
      </c>
      <c r="J15" s="12"/>
      <c r="K15" s="12"/>
      <c r="L15" s="12"/>
      <c r="M15" s="13"/>
    </row>
    <row r="16" spans="2:13" x14ac:dyDescent="0.2">
      <c r="B16" s="2" t="s">
        <v>11</v>
      </c>
      <c r="C16" s="21">
        <v>210</v>
      </c>
      <c r="E16" s="22">
        <f>C16</f>
        <v>210</v>
      </c>
      <c r="G16" s="11" t="s">
        <v>12</v>
      </c>
      <c r="H16" s="16">
        <f>H14</f>
        <v>210</v>
      </c>
      <c r="I16" s="17">
        <v>0.7</v>
      </c>
      <c r="J16" s="12"/>
      <c r="K16" s="12"/>
      <c r="L16" s="12"/>
      <c r="M16" s="13"/>
    </row>
    <row r="17" spans="2:13" x14ac:dyDescent="0.2">
      <c r="B17" s="2" t="s">
        <v>13</v>
      </c>
      <c r="C17" s="23">
        <f>I17</f>
        <v>0.40166666666666667</v>
      </c>
      <c r="E17" s="24">
        <v>0.83499999999999996</v>
      </c>
      <c r="F17" s="25"/>
      <c r="G17" s="11"/>
      <c r="H17" s="16">
        <f>SUM(H14:H16)</f>
        <v>540</v>
      </c>
      <c r="I17" s="26">
        <f>SUMPRODUCT(H14:H16,I14:I16)/H17</f>
        <v>0.40166666666666667</v>
      </c>
      <c r="J17" s="12"/>
      <c r="K17" s="12"/>
      <c r="L17" s="12"/>
      <c r="M17" s="13"/>
    </row>
    <row r="18" spans="2:13" x14ac:dyDescent="0.2">
      <c r="B18" s="2" t="s">
        <v>14</v>
      </c>
      <c r="C18" s="22">
        <f>C16+C15*C17</f>
        <v>426.9</v>
      </c>
      <c r="E18" s="22">
        <f>C18</f>
        <v>426.9</v>
      </c>
      <c r="F18" s="25"/>
      <c r="G18" s="11"/>
      <c r="H18" s="12"/>
      <c r="I18" s="12" t="s">
        <v>15</v>
      </c>
      <c r="J18" s="12" t="s">
        <v>16</v>
      </c>
      <c r="K18" s="14" t="s">
        <v>17</v>
      </c>
      <c r="L18" s="12" t="s">
        <v>18</v>
      </c>
      <c r="M18" s="13"/>
    </row>
    <row r="19" spans="2:13" x14ac:dyDescent="0.2">
      <c r="B19" s="2" t="s">
        <v>19</v>
      </c>
      <c r="C19" s="27">
        <f>(2.5%*AVERAGE(C16,C18)*I19)</f>
        <v>0.23265753424657531</v>
      </c>
      <c r="E19" s="27">
        <f>(K21*I21)+(2.5%*AVERAGE(E16,E18)*I20)</f>
        <v>1.7727914764079147</v>
      </c>
      <c r="F19" s="25"/>
      <c r="G19" s="11"/>
      <c r="H19" s="28" t="s">
        <v>20</v>
      </c>
      <c r="I19" s="29">
        <f>J19/(K19*L19)</f>
        <v>2.9223744292237442E-2</v>
      </c>
      <c r="J19" s="30">
        <v>600</v>
      </c>
      <c r="K19" s="31">
        <v>5</v>
      </c>
      <c r="L19" s="32">
        <f>1*2.5%*450*365</f>
        <v>4106.25</v>
      </c>
      <c r="M19" s="13"/>
    </row>
    <row r="20" spans="2:13" x14ac:dyDescent="0.2">
      <c r="B20" s="2" t="s">
        <v>21</v>
      </c>
      <c r="C20" s="33">
        <v>0.5</v>
      </c>
      <c r="E20" s="33">
        <v>0.52</v>
      </c>
      <c r="F20" s="25"/>
      <c r="G20" s="11"/>
      <c r="H20" s="28" t="s">
        <v>22</v>
      </c>
      <c r="I20" s="29">
        <f>J20/(K20*L20)</f>
        <v>1.5423642820903095E-2</v>
      </c>
      <c r="J20" s="30">
        <v>1900</v>
      </c>
      <c r="K20" s="31">
        <v>10</v>
      </c>
      <c r="L20" s="32">
        <f>3*450*2.5%*365</f>
        <v>12318.75</v>
      </c>
      <c r="M20" s="13"/>
    </row>
    <row r="21" spans="2:13" x14ac:dyDescent="0.2">
      <c r="B21" s="2" t="s">
        <v>23</v>
      </c>
      <c r="C21" s="34">
        <v>290</v>
      </c>
      <c r="D21" s="35"/>
      <c r="E21" s="36">
        <f>1.015*C21</f>
        <v>294.34999999999997</v>
      </c>
      <c r="F21" s="25"/>
      <c r="G21" s="11"/>
      <c r="H21" s="28" t="s">
        <v>24</v>
      </c>
      <c r="I21" s="37">
        <f>110/30</f>
        <v>3.6666666666666665</v>
      </c>
      <c r="J21" s="12" t="s">
        <v>25</v>
      </c>
      <c r="K21" s="38">
        <v>0.45</v>
      </c>
      <c r="L21" s="12"/>
      <c r="M21" s="13"/>
    </row>
    <row r="22" spans="2:13" x14ac:dyDescent="0.2">
      <c r="G22" s="11"/>
      <c r="H22" s="28" t="s">
        <v>26</v>
      </c>
      <c r="I22" s="39">
        <v>8</v>
      </c>
      <c r="J22" s="28" t="s">
        <v>27</v>
      </c>
      <c r="K22" s="40">
        <v>75</v>
      </c>
      <c r="L22" s="12"/>
      <c r="M22" s="13"/>
    </row>
    <row r="23" spans="2:13" ht="30" x14ac:dyDescent="0.2">
      <c r="B23" s="2" t="s">
        <v>28</v>
      </c>
      <c r="C23" s="41">
        <f>(C18/15)*C20*C21*C14</f>
        <v>4126.7</v>
      </c>
      <c r="E23" s="41">
        <f>(E18/15)*E20*E21*E14</f>
        <v>4356.1445199999989</v>
      </c>
      <c r="G23" s="11"/>
      <c r="H23" s="28" t="s">
        <v>29</v>
      </c>
      <c r="I23" s="42">
        <f>K23/I24/(E15/30)</f>
        <v>3.3208802783971501</v>
      </c>
      <c r="J23" s="43" t="str">
        <f>CONCATENATE("Custo Total em ",L24," anos (Aquis+Inst+Mensal)")</f>
        <v>Custo Total em 5 anos (Aquis+Inst+Mensal)</v>
      </c>
      <c r="K23" s="44">
        <f>35000+90*L24*12</f>
        <v>40400</v>
      </c>
      <c r="L23" s="12" t="s">
        <v>30</v>
      </c>
      <c r="M23" s="45"/>
    </row>
    <row r="24" spans="2:13" ht="17" thickBot="1" x14ac:dyDescent="0.25">
      <c r="B24" s="2" t="s">
        <v>31</v>
      </c>
      <c r="C24" s="46">
        <f>-C19*C15*C14</f>
        <v>-125.63506849315067</v>
      </c>
      <c r="E24" s="46">
        <f>-E19*E15*E14</f>
        <v>-460.50116315314568</v>
      </c>
      <c r="G24" s="47"/>
      <c r="H24" s="48" t="str">
        <f>CONCATENATE("Num animais pesados em ",L24," anos")</f>
        <v>Num animais pesados em 5 anos</v>
      </c>
      <c r="I24" s="49">
        <f>ROUND(L24*365/E15*200,0)</f>
        <v>1405</v>
      </c>
      <c r="J24" s="50" t="s">
        <v>32</v>
      </c>
      <c r="K24" s="51"/>
      <c r="L24" s="52">
        <v>5</v>
      </c>
      <c r="M24" s="53"/>
    </row>
    <row r="25" spans="2:13" x14ac:dyDescent="0.2">
      <c r="B25" s="2" t="s">
        <v>33</v>
      </c>
      <c r="C25" s="54">
        <f>SUM(C23:C24)</f>
        <v>4001.064931506849</v>
      </c>
      <c r="E25" s="54">
        <f>SUM(E23:E24)</f>
        <v>3895.6433568468533</v>
      </c>
    </row>
    <row r="26" spans="2:13" ht="33" customHeight="1" x14ac:dyDescent="0.2">
      <c r="B26" s="2" t="s">
        <v>34</v>
      </c>
      <c r="C26" s="46">
        <f>-$K$22/30*C15*C14</f>
        <v>-1350</v>
      </c>
      <c r="E26" s="46">
        <f>-$K$22/30*E15*E14</f>
        <v>-649.40119760479035</v>
      </c>
    </row>
    <row r="27" spans="2:13" x14ac:dyDescent="0.2">
      <c r="B27" s="2" t="s">
        <v>35</v>
      </c>
      <c r="C27" s="54">
        <f>SUM(C25:C26)</f>
        <v>2651.064931506849</v>
      </c>
      <c r="E27" s="54">
        <f>SUM(E25:E26)</f>
        <v>3246.2421592420628</v>
      </c>
    </row>
    <row r="28" spans="2:13" x14ac:dyDescent="0.2">
      <c r="B28" s="2" t="s">
        <v>36</v>
      </c>
      <c r="C28" s="54">
        <f>365/C15*C27</f>
        <v>1791.9235185185182</v>
      </c>
      <c r="E28" s="54">
        <f>365/E15*E29*E14</f>
        <v>4561.4267131535262</v>
      </c>
    </row>
    <row r="29" spans="2:13" ht="17" thickBot="1" x14ac:dyDescent="0.25">
      <c r="B29" s="2" t="s">
        <v>37</v>
      </c>
      <c r="C29" s="55">
        <f>C27/C14</f>
        <v>2651.064931506849</v>
      </c>
      <c r="E29" s="55">
        <f>E27/E14</f>
        <v>3246.2421592420628</v>
      </c>
    </row>
    <row r="30" spans="2:13" x14ac:dyDescent="0.2">
      <c r="B30" s="56" t="s">
        <v>38</v>
      </c>
      <c r="C30" s="56"/>
      <c r="D30" s="56"/>
      <c r="E30" s="57">
        <f>(E29-C29)</f>
        <v>595.17722773521382</v>
      </c>
    </row>
    <row r="31" spans="2:13" ht="17" thickBot="1" x14ac:dyDescent="0.25">
      <c r="B31" s="58" t="s">
        <v>39</v>
      </c>
      <c r="C31" s="58"/>
      <c r="D31" s="58"/>
      <c r="E31" s="59">
        <f>E30/(E15/30)</f>
        <v>68.737618970802714</v>
      </c>
    </row>
    <row r="32" spans="2:13" x14ac:dyDescent="0.2">
      <c r="B32" s="2" t="s">
        <v>40</v>
      </c>
      <c r="C32" s="60">
        <v>0.2</v>
      </c>
      <c r="E32" s="61">
        <f>E31*C32</f>
        <v>13.747523794160543</v>
      </c>
      <c r="F32" s="25" t="s">
        <v>41</v>
      </c>
    </row>
    <row r="33" spans="2:6" x14ac:dyDescent="0.2">
      <c r="B33" s="62" t="s">
        <v>42</v>
      </c>
      <c r="C33" s="62"/>
      <c r="D33" s="62"/>
      <c r="E33" s="63">
        <f>SUM(E34:E38)</f>
        <v>-6.6048083558521995</v>
      </c>
      <c r="F33" s="64" t="str">
        <f>CONCATENATE("equivale a ",ROUND(ABS(E33/E31)*100,1),"% da Contrib Liq / Cab / Mês (célula E30), ",IF(-E33&lt;E32,CONCATENATE("menos que os ",ROUND(C32*100,0),"% (célula C32) que aceitaria pagar"),CONCATENATE("mais que os ",ROUND(C32*100,0),"% que aceitaria pagar")))</f>
        <v>equivale a 9.6% da Contrib Liq / Cab / Mês (célula E30), menos que os 20% (célula C32) que aceitaria pagar</v>
      </c>
    </row>
    <row r="34" spans="2:6" x14ac:dyDescent="0.2">
      <c r="B34" s="65" t="s">
        <v>43</v>
      </c>
      <c r="C34" s="66">
        <f>ABS(E34/E$32)</f>
        <v>6.4738931412363893E-2</v>
      </c>
      <c r="E34" s="61">
        <v>-0.89</v>
      </c>
      <c r="F34" s="25"/>
    </row>
    <row r="35" spans="2:6" x14ac:dyDescent="0.2">
      <c r="B35" s="65" t="s">
        <v>44</v>
      </c>
      <c r="C35" s="66">
        <f t="shared" ref="C35:C37" si="0">ABS(E35/E$32)</f>
        <v>6.7206872400359122E-2</v>
      </c>
      <c r="E35" s="61">
        <f>-I22/(E15/30)</f>
        <v>-0.92392807745504857</v>
      </c>
      <c r="F35" s="25" t="s">
        <v>45</v>
      </c>
    </row>
    <row r="36" spans="2:6" x14ac:dyDescent="0.2">
      <c r="B36" s="65" t="s">
        <v>29</v>
      </c>
      <c r="C36" s="66">
        <f t="shared" si="0"/>
        <v>0.24156206805823033</v>
      </c>
      <c r="E36" s="61">
        <f>-I23</f>
        <v>-3.3208802783971501</v>
      </c>
      <c r="F36" s="25" t="str">
        <f>CONCATENATE("para um cenário de balança fixa/piquete. Para uma balança móvel, pesando cada lote 7d/mês, o custo seria de R$ ",ROUNDUP(-E36/4,2),"/cab/mês")</f>
        <v>para um cenário de balança fixa/piquete. Para uma balança móvel, pesando cada lote 7d/mês, o custo seria de R$ 0.84/cab/mês</v>
      </c>
    </row>
    <row r="37" spans="2:6" x14ac:dyDescent="0.2">
      <c r="B37" s="65" t="s">
        <v>70</v>
      </c>
      <c r="C37" s="66">
        <f t="shared" si="0"/>
        <v>2.9096148949377031E-2</v>
      </c>
      <c r="E37" s="61">
        <v>-0.4</v>
      </c>
    </row>
    <row r="38" spans="2:6" ht="17" thickBot="1" x14ac:dyDescent="0.25">
      <c r="B38" s="67" t="s">
        <v>71</v>
      </c>
      <c r="C38" s="68"/>
      <c r="D38" s="68"/>
      <c r="E38" s="69">
        <v>-1.07</v>
      </c>
      <c r="F38" s="25"/>
    </row>
    <row r="39" spans="2:6" x14ac:dyDescent="0.2">
      <c r="C39" s="41"/>
    </row>
    <row r="41" spans="2:6" x14ac:dyDescent="0.2">
      <c r="B41" s="70"/>
      <c r="C41" s="70" t="s">
        <v>46</v>
      </c>
      <c r="D41" s="70" t="s">
        <v>47</v>
      </c>
      <c r="E41" s="70" t="s">
        <v>48</v>
      </c>
    </row>
    <row r="42" spans="2:6" x14ac:dyDescent="0.2">
      <c r="B42" s="71" t="s">
        <v>49</v>
      </c>
      <c r="C42" s="72">
        <v>1000</v>
      </c>
      <c r="D42" s="70"/>
      <c r="E42" s="73">
        <f>C42</f>
        <v>1000</v>
      </c>
    </row>
    <row r="43" spans="2:6" x14ac:dyDescent="0.2">
      <c r="B43" s="71" t="s">
        <v>50</v>
      </c>
      <c r="C43" s="74">
        <v>1100</v>
      </c>
      <c r="D43" s="75">
        <f>E43/C43-1</f>
        <v>0.18181818181818188</v>
      </c>
      <c r="E43" s="76">
        <v>1300</v>
      </c>
      <c r="F43" s="2" t="s">
        <v>51</v>
      </c>
    </row>
    <row r="44" spans="2:6" x14ac:dyDescent="0.2">
      <c r="B44" s="70" t="s">
        <v>52</v>
      </c>
      <c r="C44" s="100">
        <f>C15/30</f>
        <v>18</v>
      </c>
      <c r="D44" s="75">
        <f>E44/C44-1</f>
        <v>-0.51896207584830356</v>
      </c>
      <c r="E44" s="100">
        <f>E15/30</f>
        <v>8.6586826347305372</v>
      </c>
      <c r="F44" s="2" t="s">
        <v>53</v>
      </c>
    </row>
    <row r="45" spans="2:6" x14ac:dyDescent="0.2">
      <c r="B45" s="70" t="s">
        <v>54</v>
      </c>
      <c r="C45" s="77">
        <f>C43*12/C44</f>
        <v>733.33333333333337</v>
      </c>
      <c r="D45" s="75">
        <f t="shared" ref="D45:D49" si="1">E45/C45-1</f>
        <v>1.4568087514145609</v>
      </c>
      <c r="E45" s="77">
        <f>E43*12/E44</f>
        <v>1801.6597510373447</v>
      </c>
    </row>
    <row r="46" spans="2:6" x14ac:dyDescent="0.2">
      <c r="B46" s="70" t="s">
        <v>55</v>
      </c>
      <c r="C46" s="78">
        <f>C45*C18*C20/15</f>
        <v>10435.333333333334</v>
      </c>
      <c r="D46" s="75">
        <f t="shared" si="1"/>
        <v>1.555081101471143</v>
      </c>
      <c r="E46" s="78">
        <f>E45*E18*E20/15</f>
        <v>26663.122987551869</v>
      </c>
    </row>
    <row r="47" spans="2:6" x14ac:dyDescent="0.2">
      <c r="B47" s="70" t="s">
        <v>21</v>
      </c>
      <c r="C47" s="79">
        <f>C20</f>
        <v>0.5</v>
      </c>
      <c r="D47" s="75">
        <f>E47/C47-1</f>
        <v>4.0000000000000036E-2</v>
      </c>
      <c r="E47" s="79">
        <f>E20</f>
        <v>0.52</v>
      </c>
      <c r="F47" s="2" t="s">
        <v>56</v>
      </c>
    </row>
    <row r="48" spans="2:6" x14ac:dyDescent="0.2">
      <c r="B48" s="70" t="s">
        <v>57</v>
      </c>
      <c r="C48" s="80">
        <f>C21</f>
        <v>290</v>
      </c>
      <c r="D48" s="75">
        <f t="shared" si="1"/>
        <v>1.4999999999999902E-2</v>
      </c>
      <c r="E48" s="81">
        <f>E21</f>
        <v>294.34999999999997</v>
      </c>
      <c r="F48" s="2" t="s">
        <v>58</v>
      </c>
    </row>
    <row r="49" spans="2:6" x14ac:dyDescent="0.2">
      <c r="B49" s="70" t="s">
        <v>59</v>
      </c>
      <c r="C49" s="82">
        <f>C46*C48</f>
        <v>3026246.666666667</v>
      </c>
      <c r="D49" s="75">
        <f t="shared" si="1"/>
        <v>1.5934073179932096</v>
      </c>
      <c r="E49" s="82">
        <f>E46*E48</f>
        <v>7848290.2513858918</v>
      </c>
    </row>
    <row r="50" spans="2:6" x14ac:dyDescent="0.2">
      <c r="B50" s="70" t="s">
        <v>60</v>
      </c>
      <c r="C50" s="82">
        <f>C45*C29</f>
        <v>1944114.2831050227</v>
      </c>
      <c r="D50" s="75"/>
      <c r="E50" s="82">
        <f>E45*E29</f>
        <v>5848623.840426987</v>
      </c>
    </row>
    <row r="51" spans="2:6" x14ac:dyDescent="0.2">
      <c r="B51" s="70"/>
      <c r="C51" s="83"/>
      <c r="D51" s="84" t="s">
        <v>61</v>
      </c>
      <c r="E51" s="82">
        <f>E49-C49</f>
        <v>4822043.5847192248</v>
      </c>
    </row>
    <row r="52" spans="2:6" x14ac:dyDescent="0.2">
      <c r="C52" s="85"/>
      <c r="D52" s="86" t="s">
        <v>62</v>
      </c>
      <c r="E52" s="82">
        <f>E43*E34*E44</f>
        <v>-10018.095808383232</v>
      </c>
    </row>
    <row r="53" spans="2:6" x14ac:dyDescent="0.2">
      <c r="C53" s="87"/>
      <c r="D53" s="88" t="s">
        <v>63</v>
      </c>
      <c r="E53" s="82">
        <f>E43*(E33-E34)*E44</f>
        <v>-64327.525433119539</v>
      </c>
    </row>
    <row r="54" spans="2:6" x14ac:dyDescent="0.2">
      <c r="C54" s="87"/>
      <c r="D54" s="88" t="s">
        <v>64</v>
      </c>
      <c r="E54" s="82">
        <f>SUM(E52:E53)</f>
        <v>-74345.621241502769</v>
      </c>
      <c r="F54" s="2" t="s">
        <v>65</v>
      </c>
    </row>
    <row r="55" spans="2:6" x14ac:dyDescent="0.2">
      <c r="C55" s="87"/>
      <c r="D55" s="88" t="s">
        <v>66</v>
      </c>
      <c r="E55" s="89">
        <f>-E54/E51</f>
        <v>1.5417865876845184E-2</v>
      </c>
      <c r="F55" s="2" t="str">
        <f>CONCATENATE(ROUND(-E54/(E50-C50),2),"% da contribuição liquída")</f>
        <v>0.02% da contribuição liquída</v>
      </c>
    </row>
    <row r="56" spans="2:6" x14ac:dyDescent="0.2">
      <c r="C56" s="87"/>
      <c r="D56" s="88" t="s">
        <v>67</v>
      </c>
      <c r="E56" s="89">
        <f>-E54/E49</f>
        <v>9.4728429836516848E-3</v>
      </c>
      <c r="F56" s="2" t="str">
        <f>CONCATENATE(ROUND(-E54/E50,2),"% da contribuição liquída")</f>
        <v>0.01% da contribuição liquída</v>
      </c>
    </row>
    <row r="58" spans="2:6" x14ac:dyDescent="0.2">
      <c r="B58" s="90" t="s">
        <v>68</v>
      </c>
    </row>
  </sheetData>
  <sheetProtection algorithmName="SHA-512" hashValue="QG+ZGLC0bO1EqadrW9IhEd3Wvu8FtJH0yqPXSnTIvI48mDNqwv0Y3NtHKsFlMkSGXlEIn94xJI0bZNI6pkcQGA==" saltValue="hPl9xLPMTmJrY8BjtwCksA==" spinCount="100000" sheet="1" objects="1" scenarios="1"/>
  <mergeCells count="4">
    <mergeCell ref="D2:K2"/>
    <mergeCell ref="B11:E11"/>
    <mergeCell ref="G11:M11"/>
    <mergeCell ref="D4:M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Como a Tecnologia se Paga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Jorge Pinto Gomes</dc:creator>
  <cp:lastModifiedBy>Carlos Jorge Pinto Gomes</cp:lastModifiedBy>
  <dcterms:created xsi:type="dcterms:W3CDTF">2021-04-23T21:58:36Z</dcterms:created>
  <dcterms:modified xsi:type="dcterms:W3CDTF">2021-04-23T22:06:01Z</dcterms:modified>
</cp:coreProperties>
</file>